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ropbox\Ejercicios Alumnos\Nuevos\"/>
    </mc:Choice>
  </mc:AlternateContent>
  <xr:revisionPtr revIDLastSave="0" documentId="13_ncr:1_{7A5440A6-5A6A-420E-BFFB-E7644A9BD89C}" xr6:coauthVersionLast="40" xr6:coauthVersionMax="40" xr10:uidLastSave="{00000000-0000-0000-0000-000000000000}"/>
  <bookViews>
    <workbookView xWindow="0" yWindow="0" windowWidth="20494" windowHeight="6943" activeTab="2" xr2:uid="{693DCCD3-ADA4-45D2-B580-63E65C48B6A4}"/>
  </bookViews>
  <sheets>
    <sheet name="Datos" sheetId="3" r:id="rId1"/>
    <sheet name="Valorización sin Ampliación" sheetId="4" r:id="rId2"/>
    <sheet name="Análisis de alternativa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2" i="5" l="1"/>
  <c r="K15" i="5"/>
  <c r="K22" i="5" s="1"/>
  <c r="L15" i="5"/>
  <c r="L22" i="5" s="1"/>
  <c r="M15" i="5"/>
  <c r="M22" i="5" s="1"/>
  <c r="D16" i="5"/>
  <c r="D23" i="5" s="1"/>
  <c r="E16" i="5"/>
  <c r="F16" i="5" s="1"/>
  <c r="F23" i="5" s="1"/>
  <c r="E23" i="5"/>
  <c r="C24" i="5"/>
  <c r="AA37" i="5"/>
  <c r="D40" i="5"/>
  <c r="D49" i="5" s="1"/>
  <c r="C41" i="5"/>
  <c r="C50" i="5" s="1"/>
  <c r="C42" i="5"/>
  <c r="C45" i="5" s="1"/>
  <c r="H43" i="5"/>
  <c r="C51" i="5"/>
  <c r="D9" i="4"/>
  <c r="D16" i="4" s="1"/>
  <c r="Z15" i="4"/>
  <c r="D18" i="4"/>
  <c r="E18" i="4"/>
  <c r="F18" i="4"/>
  <c r="G18" i="4"/>
  <c r="H18" i="4"/>
  <c r="I18" i="4"/>
  <c r="J18" i="4"/>
  <c r="K18" i="4"/>
  <c r="L18" i="4"/>
  <c r="M18" i="4"/>
  <c r="D21" i="4"/>
  <c r="E21" i="4"/>
  <c r="F21" i="4"/>
  <c r="G21" i="4"/>
  <c r="H21" i="4"/>
  <c r="I21" i="4"/>
  <c r="J21" i="4"/>
  <c r="K21" i="4"/>
  <c r="L21" i="4"/>
  <c r="M21" i="4"/>
  <c r="D22" i="4"/>
  <c r="E22" i="4" s="1"/>
  <c r="F22" i="4" s="1"/>
  <c r="G22" i="4" s="1"/>
  <c r="H22" i="4" s="1"/>
  <c r="I22" i="4" s="1"/>
  <c r="J22" i="4" s="1"/>
  <c r="K22" i="4" s="1"/>
  <c r="L22" i="4" s="1"/>
  <c r="M22" i="4" s="1"/>
  <c r="D23" i="4"/>
  <c r="E23" i="4" s="1"/>
  <c r="F23" i="4" s="1"/>
  <c r="G23" i="4" s="1"/>
  <c r="H23" i="4" s="1"/>
  <c r="I23" i="4" s="1"/>
  <c r="J23" i="4" s="1"/>
  <c r="K23" i="4" s="1"/>
  <c r="L23" i="4" s="1"/>
  <c r="M23" i="4" s="1"/>
  <c r="D27" i="4"/>
  <c r="E27" i="4" s="1"/>
  <c r="F27" i="4" s="1"/>
  <c r="D28" i="4"/>
  <c r="E28" i="4" s="1"/>
  <c r="E15" i="5" s="1"/>
  <c r="E22" i="5" s="1"/>
  <c r="C43" i="4"/>
  <c r="D57" i="4"/>
  <c r="D58" i="4" s="1"/>
  <c r="E57" i="4"/>
  <c r="E58" i="4" s="1"/>
  <c r="F57" i="4"/>
  <c r="F58" i="4" s="1"/>
  <c r="F60" i="4" s="1"/>
  <c r="G57" i="4"/>
  <c r="G58" i="4" s="1"/>
  <c r="G60" i="4" s="1"/>
  <c r="H57" i="4"/>
  <c r="H58" i="4" s="1"/>
  <c r="I57" i="4"/>
  <c r="I58" i="4" s="1"/>
  <c r="J57" i="4"/>
  <c r="J58" i="4" s="1"/>
  <c r="J60" i="4" s="1"/>
  <c r="K57" i="4"/>
  <c r="K58" i="4" s="1"/>
  <c r="L57" i="4"/>
  <c r="L58" i="4" s="1"/>
  <c r="M57" i="4"/>
  <c r="M58" i="4" s="1"/>
  <c r="H60" i="4"/>
  <c r="D62" i="4"/>
  <c r="E62" i="4"/>
  <c r="F62" i="4"/>
  <c r="G62" i="4"/>
  <c r="H62" i="4"/>
  <c r="I62" i="4"/>
  <c r="J62" i="4"/>
  <c r="K62" i="4"/>
  <c r="L62" i="4"/>
  <c r="M62" i="4"/>
  <c r="C64" i="4"/>
  <c r="C66" i="4" s="1"/>
  <c r="G16" i="5" l="1"/>
  <c r="G23" i="5" s="1"/>
  <c r="E40" i="5"/>
  <c r="L60" i="4"/>
  <c r="L66" i="4" s="1"/>
  <c r="J66" i="4"/>
  <c r="F66" i="4"/>
  <c r="E35" i="4"/>
  <c r="D17" i="4"/>
  <c r="D60" i="4"/>
  <c r="D66" i="4" s="1"/>
  <c r="H66" i="4"/>
  <c r="E60" i="4"/>
  <c r="E66" i="4" s="1"/>
  <c r="K60" i="4"/>
  <c r="K66" i="4" s="1"/>
  <c r="G66" i="4"/>
  <c r="F35" i="4"/>
  <c r="G27" i="4"/>
  <c r="D4" i="5"/>
  <c r="D15" i="4"/>
  <c r="E9" i="4"/>
  <c r="E36" i="4"/>
  <c r="D35" i="4"/>
  <c r="D15" i="5"/>
  <c r="D22" i="5" s="1"/>
  <c r="D36" i="4"/>
  <c r="P15" i="4"/>
  <c r="P16" i="4" s="1"/>
  <c r="C46" i="5"/>
  <c r="C47" i="5" s="1"/>
  <c r="I60" i="4"/>
  <c r="I66" i="4" s="1"/>
  <c r="M60" i="4"/>
  <c r="M66" i="4" s="1"/>
  <c r="C42" i="4"/>
  <c r="F28" i="4"/>
  <c r="H16" i="5"/>
  <c r="E49" i="5" l="1"/>
  <c r="F40" i="5"/>
  <c r="D19" i="4"/>
  <c r="D25" i="4" s="1"/>
  <c r="C68" i="4"/>
  <c r="H23" i="5"/>
  <c r="I16" i="5"/>
  <c r="C37" i="4"/>
  <c r="C45" i="4" s="1"/>
  <c r="F9" i="4"/>
  <c r="E4" i="5"/>
  <c r="E16" i="4"/>
  <c r="E17" i="4"/>
  <c r="E15" i="4"/>
  <c r="Q15" i="4"/>
  <c r="Q16" i="4" s="1"/>
  <c r="D37" i="4" s="1"/>
  <c r="D13" i="5"/>
  <c r="D14" i="5"/>
  <c r="D38" i="5"/>
  <c r="D39" i="5"/>
  <c r="Q37" i="5" s="1"/>
  <c r="Q39" i="5" s="1"/>
  <c r="G35" i="4"/>
  <c r="H27" i="4"/>
  <c r="G28" i="4"/>
  <c r="F15" i="5"/>
  <c r="F22" i="5" s="1"/>
  <c r="F36" i="4"/>
  <c r="D20" i="4"/>
  <c r="F49" i="5" l="1"/>
  <c r="G40" i="5"/>
  <c r="E19" i="4"/>
  <c r="E20" i="4" s="1"/>
  <c r="D30" i="4"/>
  <c r="D26" i="4"/>
  <c r="D45" i="5"/>
  <c r="D46" i="5"/>
  <c r="J16" i="5"/>
  <c r="I23" i="5"/>
  <c r="D18" i="5"/>
  <c r="Q12" i="5"/>
  <c r="Q13" i="5" s="1"/>
  <c r="G15" i="5"/>
  <c r="G22" i="5" s="1"/>
  <c r="G36" i="4"/>
  <c r="H28" i="4"/>
  <c r="E25" i="4"/>
  <c r="R15" i="4"/>
  <c r="R16" i="4" s="1"/>
  <c r="F17" i="4"/>
  <c r="F15" i="4"/>
  <c r="F19" i="4" s="1"/>
  <c r="F4" i="5"/>
  <c r="G9" i="4"/>
  <c r="F16" i="4"/>
  <c r="I27" i="4"/>
  <c r="H35" i="4"/>
  <c r="C52" i="5"/>
  <c r="C54" i="5" s="1"/>
  <c r="E39" i="5"/>
  <c r="R37" i="5" s="1"/>
  <c r="R39" i="5" s="1"/>
  <c r="D52" i="5" s="1"/>
  <c r="E13" i="5"/>
  <c r="E14" i="5"/>
  <c r="E38" i="5"/>
  <c r="G49" i="5" l="1"/>
  <c r="H40" i="5"/>
  <c r="G16" i="4"/>
  <c r="S15" i="4"/>
  <c r="S16" i="4" s="1"/>
  <c r="F37" i="4" s="1"/>
  <c r="G15" i="4"/>
  <c r="G17" i="4"/>
  <c r="G4" i="5"/>
  <c r="H9" i="4"/>
  <c r="D19" i="5"/>
  <c r="D20" i="5" s="1"/>
  <c r="I35" i="4"/>
  <c r="J27" i="4"/>
  <c r="F25" i="4"/>
  <c r="F20" i="4"/>
  <c r="E30" i="4"/>
  <c r="E26" i="4"/>
  <c r="E37" i="4"/>
  <c r="C25" i="5"/>
  <c r="C27" i="5" s="1"/>
  <c r="R12" i="5"/>
  <c r="R13" i="5" s="1"/>
  <c r="D25" i="5" s="1"/>
  <c r="E18" i="5"/>
  <c r="F14" i="5"/>
  <c r="F39" i="5"/>
  <c r="S37" i="5" s="1"/>
  <c r="S39" i="5" s="1"/>
  <c r="E52" i="5" s="1"/>
  <c r="F13" i="5"/>
  <c r="F38" i="5"/>
  <c r="D47" i="5"/>
  <c r="D54" i="5" s="1"/>
  <c r="E45" i="5"/>
  <c r="E46" i="5"/>
  <c r="H15" i="5"/>
  <c r="H22" i="5" s="1"/>
  <c r="H36" i="4"/>
  <c r="I28" i="4"/>
  <c r="K16" i="5"/>
  <c r="J23" i="5"/>
  <c r="D31" i="4"/>
  <c r="D33" i="4" s="1"/>
  <c r="D45" i="4" s="1"/>
  <c r="H49" i="5" l="1"/>
  <c r="I40" i="5"/>
  <c r="G19" i="4"/>
  <c r="G20" i="4" s="1"/>
  <c r="F30" i="4"/>
  <c r="F26" i="4"/>
  <c r="D27" i="5"/>
  <c r="E47" i="5"/>
  <c r="E54" i="5" s="1"/>
  <c r="E31" i="4"/>
  <c r="E33" i="4" s="1"/>
  <c r="E45" i="4" s="1"/>
  <c r="G13" i="5"/>
  <c r="G38" i="5"/>
  <c r="G14" i="5"/>
  <c r="G39" i="5"/>
  <c r="T37" i="5" s="1"/>
  <c r="T39" i="5" s="1"/>
  <c r="F52" i="5" s="1"/>
  <c r="J28" i="4"/>
  <c r="I15" i="5"/>
  <c r="I22" i="5" s="1"/>
  <c r="I36" i="4"/>
  <c r="S12" i="5"/>
  <c r="S13" i="5" s="1"/>
  <c r="E25" i="5" s="1"/>
  <c r="F18" i="5"/>
  <c r="G25" i="4"/>
  <c r="K23" i="5"/>
  <c r="L16" i="5"/>
  <c r="J35" i="4"/>
  <c r="K27" i="4"/>
  <c r="H4" i="5"/>
  <c r="H15" i="4"/>
  <c r="T15" i="4"/>
  <c r="T16" i="4" s="1"/>
  <c r="G37" i="4" s="1"/>
  <c r="H16" i="4"/>
  <c r="H17" i="4"/>
  <c r="I9" i="4"/>
  <c r="F45" i="5"/>
  <c r="F46" i="5"/>
  <c r="E19" i="5"/>
  <c r="E20" i="5" s="1"/>
  <c r="I49" i="5" l="1"/>
  <c r="J40" i="5"/>
  <c r="F47" i="5"/>
  <c r="F54" i="5" s="1"/>
  <c r="L27" i="4"/>
  <c r="K35" i="4"/>
  <c r="F31" i="4"/>
  <c r="F33" i="4" s="1"/>
  <c r="F45" i="4" s="1"/>
  <c r="J9" i="4"/>
  <c r="I15" i="4"/>
  <c r="U15" i="4"/>
  <c r="U16" i="4" s="1"/>
  <c r="I16" i="4"/>
  <c r="I17" i="4"/>
  <c r="I4" i="5"/>
  <c r="G46" i="5"/>
  <c r="G45" i="5"/>
  <c r="E27" i="5"/>
  <c r="H19" i="4"/>
  <c r="G26" i="4"/>
  <c r="G30" i="4"/>
  <c r="H38" i="5"/>
  <c r="H39" i="5"/>
  <c r="U37" i="5" s="1"/>
  <c r="U39" i="5" s="1"/>
  <c r="G52" i="5" s="1"/>
  <c r="H13" i="5"/>
  <c r="H14" i="5"/>
  <c r="L23" i="5"/>
  <c r="M16" i="5"/>
  <c r="M23" i="5" s="1"/>
  <c r="F19" i="5"/>
  <c r="F20" i="5" s="1"/>
  <c r="J15" i="5"/>
  <c r="J22" i="5" s="1"/>
  <c r="J36" i="4"/>
  <c r="T12" i="5"/>
  <c r="T13" i="5" s="1"/>
  <c r="F25" i="5" s="1"/>
  <c r="G18" i="5"/>
  <c r="K40" i="5" l="1"/>
  <c r="J49" i="5"/>
  <c r="F27" i="5"/>
  <c r="G47" i="5"/>
  <c r="G54" i="5" s="1"/>
  <c r="H20" i="4"/>
  <c r="H25" i="4"/>
  <c r="H45" i="5"/>
  <c r="H46" i="5"/>
  <c r="H18" i="5"/>
  <c r="U12" i="5"/>
  <c r="U13" i="5" s="1"/>
  <c r="G25" i="5" s="1"/>
  <c r="H37" i="4"/>
  <c r="M27" i="4"/>
  <c r="M35" i="4" s="1"/>
  <c r="L35" i="4"/>
  <c r="I39" i="5"/>
  <c r="V37" i="5" s="1"/>
  <c r="V39" i="5" s="1"/>
  <c r="H52" i="5" s="1"/>
  <c r="I13" i="5"/>
  <c r="I14" i="5"/>
  <c r="I38" i="5"/>
  <c r="I19" i="4"/>
  <c r="G19" i="5"/>
  <c r="G20" i="5" s="1"/>
  <c r="G31" i="4"/>
  <c r="G33" i="4" s="1"/>
  <c r="G45" i="4" s="1"/>
  <c r="V15" i="4"/>
  <c r="V16" i="4" s="1"/>
  <c r="I37" i="4" s="1"/>
  <c r="J17" i="4"/>
  <c r="J4" i="5"/>
  <c r="K9" i="4"/>
  <c r="J16" i="4"/>
  <c r="J15" i="4"/>
  <c r="J19" i="4" s="1"/>
  <c r="L40" i="5" l="1"/>
  <c r="K49" i="5"/>
  <c r="J14" i="5"/>
  <c r="J39" i="5"/>
  <c r="W37" i="5" s="1"/>
  <c r="W39" i="5" s="1"/>
  <c r="I52" i="5" s="1"/>
  <c r="J13" i="5"/>
  <c r="J38" i="5"/>
  <c r="I20" i="4"/>
  <c r="I25" i="4"/>
  <c r="J20" i="4"/>
  <c r="J25" i="4"/>
  <c r="I45" i="5"/>
  <c r="I46" i="5"/>
  <c r="H19" i="5"/>
  <c r="H20" i="5" s="1"/>
  <c r="H30" i="4"/>
  <c r="H26" i="4"/>
  <c r="G27" i="5"/>
  <c r="K16" i="4"/>
  <c r="K15" i="4"/>
  <c r="K17" i="4"/>
  <c r="K4" i="5"/>
  <c r="L9" i="4"/>
  <c r="W15" i="4"/>
  <c r="W16" i="4" s="1"/>
  <c r="J37" i="4" s="1"/>
  <c r="I18" i="5"/>
  <c r="V12" i="5"/>
  <c r="V13" i="5" s="1"/>
  <c r="H25" i="5" s="1"/>
  <c r="H47" i="5"/>
  <c r="H54" i="5" s="1"/>
  <c r="M40" i="5" l="1"/>
  <c r="M49" i="5" s="1"/>
  <c r="L49" i="5"/>
  <c r="H27" i="5"/>
  <c r="W12" i="5"/>
  <c r="W13" i="5" s="1"/>
  <c r="I25" i="5" s="1"/>
  <c r="J18" i="5"/>
  <c r="K19" i="4"/>
  <c r="I26" i="4"/>
  <c r="I30" i="4"/>
  <c r="L4" i="5"/>
  <c r="L15" i="4"/>
  <c r="X15" i="4"/>
  <c r="X16" i="4" s="1"/>
  <c r="K37" i="4" s="1"/>
  <c r="L16" i="4"/>
  <c r="L17" i="4"/>
  <c r="M9" i="4"/>
  <c r="H31" i="4"/>
  <c r="H33" i="4" s="1"/>
  <c r="H45" i="4" s="1"/>
  <c r="I47" i="5"/>
  <c r="I54" i="5" s="1"/>
  <c r="I19" i="5"/>
  <c r="I20" i="5" s="1"/>
  <c r="K13" i="5"/>
  <c r="K38" i="5"/>
  <c r="K14" i="5"/>
  <c r="K39" i="5"/>
  <c r="X37" i="5" s="1"/>
  <c r="X39" i="5" s="1"/>
  <c r="J52" i="5" s="1"/>
  <c r="J26" i="4"/>
  <c r="J30" i="4"/>
  <c r="J45" i="5"/>
  <c r="J46" i="5"/>
  <c r="I27" i="5" l="1"/>
  <c r="L19" i="4"/>
  <c r="L20" i="4" s="1"/>
  <c r="J47" i="5"/>
  <c r="J54" i="5" s="1"/>
  <c r="M15" i="4"/>
  <c r="Y15" i="4"/>
  <c r="Y16" i="4" s="1"/>
  <c r="M4" i="5"/>
  <c r="M16" i="4"/>
  <c r="M17" i="4"/>
  <c r="L25" i="4"/>
  <c r="K20" i="4"/>
  <c r="K25" i="4"/>
  <c r="J31" i="4"/>
  <c r="J33" i="4"/>
  <c r="J45" i="4" s="1"/>
  <c r="K46" i="5"/>
  <c r="K45" i="5"/>
  <c r="L13" i="5"/>
  <c r="L14" i="5"/>
  <c r="L38" i="5"/>
  <c r="L39" i="5"/>
  <c r="Y37" i="5" s="1"/>
  <c r="Y39" i="5" s="1"/>
  <c r="K52" i="5" s="1"/>
  <c r="J19" i="5"/>
  <c r="J20" i="5" s="1"/>
  <c r="X12" i="5"/>
  <c r="X13" i="5" s="1"/>
  <c r="J25" i="5" s="1"/>
  <c r="K18" i="5"/>
  <c r="I31" i="4"/>
  <c r="I33" i="4" s="1"/>
  <c r="I45" i="4" s="1"/>
  <c r="L45" i="5" l="1"/>
  <c r="L46" i="5"/>
  <c r="J27" i="5"/>
  <c r="L30" i="4"/>
  <c r="L26" i="4"/>
  <c r="M39" i="5"/>
  <c r="Z37" i="5" s="1"/>
  <c r="Z39" i="5" s="1"/>
  <c r="M38" i="5"/>
  <c r="M13" i="5"/>
  <c r="M14" i="5"/>
  <c r="L18" i="5"/>
  <c r="Y12" i="5"/>
  <c r="Y13" i="5" s="1"/>
  <c r="K25" i="5" s="1"/>
  <c r="L37" i="4"/>
  <c r="Z16" i="4"/>
  <c r="M37" i="4" s="1"/>
  <c r="K19" i="5"/>
  <c r="K20" i="5" s="1"/>
  <c r="K47" i="5"/>
  <c r="K54" i="5" s="1"/>
  <c r="K26" i="4"/>
  <c r="K30" i="4"/>
  <c r="M19" i="4"/>
  <c r="K27" i="5" l="1"/>
  <c r="Z12" i="5"/>
  <c r="Z13" i="5" s="1"/>
  <c r="M18" i="5"/>
  <c r="L31" i="4"/>
  <c r="L33" i="4" s="1"/>
  <c r="L45" i="4" s="1"/>
  <c r="M25" i="4"/>
  <c r="M20" i="4"/>
  <c r="M46" i="5"/>
  <c r="M45" i="5"/>
  <c r="K31" i="4"/>
  <c r="K33" i="4" s="1"/>
  <c r="K45" i="4" s="1"/>
  <c r="L19" i="5"/>
  <c r="L20" i="5" s="1"/>
  <c r="L52" i="5"/>
  <c r="AA39" i="5"/>
  <c r="M52" i="5" s="1"/>
  <c r="L47" i="5"/>
  <c r="L54" i="5" l="1"/>
  <c r="M47" i="5"/>
  <c r="M54" i="5" s="1"/>
  <c r="C56" i="5" s="1"/>
  <c r="M19" i="5"/>
  <c r="M20" i="5" s="1"/>
  <c r="M26" i="4"/>
  <c r="M30" i="4"/>
  <c r="L25" i="5"/>
  <c r="L27" i="5" s="1"/>
  <c r="AA13" i="5"/>
  <c r="M25" i="5" s="1"/>
  <c r="M27" i="5" l="1"/>
  <c r="C29" i="5" s="1"/>
  <c r="C59" i="5" s="1"/>
  <c r="M31" i="4"/>
  <c r="M33" i="4" s="1"/>
  <c r="M38" i="4" l="1"/>
  <c r="M45" i="4" s="1"/>
  <c r="C47" i="4" l="1"/>
  <c r="C73" i="4" s="1"/>
  <c r="C48" i="4"/>
</calcChain>
</file>

<file path=xl/sharedStrings.xml><?xml version="1.0" encoding="utf-8"?>
<sst xmlns="http://schemas.openxmlformats.org/spreadsheetml/2006/main" count="248" uniqueCount="122">
  <si>
    <t xml:space="preserve">años </t>
  </si>
  <si>
    <t xml:space="preserve">Horizonte </t>
  </si>
  <si>
    <t>meses costos variables</t>
  </si>
  <si>
    <t>Capital de trabajo</t>
  </si>
  <si>
    <t xml:space="preserve">Costo por tonelada </t>
  </si>
  <si>
    <t>anuales</t>
  </si>
  <si>
    <t xml:space="preserve">Publicidad </t>
  </si>
  <si>
    <t>Tasa</t>
  </si>
  <si>
    <t xml:space="preserve">mensuales </t>
  </si>
  <si>
    <t>por tonelada</t>
  </si>
  <si>
    <t>reduccion costo envase</t>
  </si>
  <si>
    <t>Arriendos Planta</t>
  </si>
  <si>
    <t>Producción</t>
  </si>
  <si>
    <t>veces</t>
  </si>
  <si>
    <t>Envases</t>
  </si>
  <si>
    <t>por Tonelada</t>
  </si>
  <si>
    <t>Costo</t>
  </si>
  <si>
    <t>Valor residual</t>
  </si>
  <si>
    <t>Chofer</t>
  </si>
  <si>
    <t>Vida útil</t>
  </si>
  <si>
    <t>Años</t>
  </si>
  <si>
    <t>Precio</t>
  </si>
  <si>
    <t>menusales</t>
  </si>
  <si>
    <t xml:space="preserve">seguros </t>
  </si>
  <si>
    <t xml:space="preserve">Maquina </t>
  </si>
  <si>
    <t>Crecimiento</t>
  </si>
  <si>
    <t>Anuales</t>
  </si>
  <si>
    <t>Comentario</t>
  </si>
  <si>
    <t>Detalle</t>
  </si>
  <si>
    <t>Dato</t>
  </si>
  <si>
    <t xml:space="preserve">Dato </t>
  </si>
  <si>
    <t>Toneladas Anuales</t>
  </si>
  <si>
    <t>Gasolina</t>
  </si>
  <si>
    <t>Alternativa 2</t>
  </si>
  <si>
    <t xml:space="preserve">Alternativa 1 </t>
  </si>
  <si>
    <t>Frecuencia</t>
  </si>
  <si>
    <t>Monto</t>
  </si>
  <si>
    <t xml:space="preserve">VALOR EMPRESA </t>
  </si>
  <si>
    <t>VAN  Deuda</t>
  </si>
  <si>
    <t>Flujo Total Deuda</t>
  </si>
  <si>
    <t>Principal</t>
  </si>
  <si>
    <t>Margen</t>
  </si>
  <si>
    <t>Ahorro Tributario</t>
  </si>
  <si>
    <t xml:space="preserve">Intereses </t>
  </si>
  <si>
    <t>Año 10</t>
  </si>
  <si>
    <t>Año 9</t>
  </si>
  <si>
    <t>Año 8</t>
  </si>
  <si>
    <t>Año 7</t>
  </si>
  <si>
    <t>Año 6</t>
  </si>
  <si>
    <t>Año 5</t>
  </si>
  <si>
    <t>Año 4</t>
  </si>
  <si>
    <t>Año 3</t>
  </si>
  <si>
    <t>Año 2</t>
  </si>
  <si>
    <t>Año 1</t>
  </si>
  <si>
    <t>Año 0</t>
  </si>
  <si>
    <t>TIR</t>
  </si>
  <si>
    <t>VAN 12%</t>
  </si>
  <si>
    <t>Flujo</t>
  </si>
  <si>
    <t>Camión</t>
  </si>
  <si>
    <t>Reposición Activos existentes</t>
  </si>
  <si>
    <t>Inversiones</t>
  </si>
  <si>
    <t>VD</t>
  </si>
  <si>
    <t>KT</t>
  </si>
  <si>
    <t>Depreciación Camión</t>
  </si>
  <si>
    <t>Utilidad Neta</t>
  </si>
  <si>
    <t>Impuestos 27%</t>
  </si>
  <si>
    <t>Utilidad Bruta</t>
  </si>
  <si>
    <t>Ebitda</t>
  </si>
  <si>
    <t>Gastos por venta</t>
  </si>
  <si>
    <t>Gastos Administración</t>
  </si>
  <si>
    <t>Gastos Personal</t>
  </si>
  <si>
    <t>Margen Bruto</t>
  </si>
  <si>
    <t>Arriendo Planta</t>
  </si>
  <si>
    <t>Necesidad KT</t>
  </si>
  <si>
    <t>Costo produccion Máquina</t>
  </si>
  <si>
    <t>KT Acumulado</t>
  </si>
  <si>
    <t>Ingresos x Venta</t>
  </si>
  <si>
    <t>Toneladas Espinacas</t>
  </si>
  <si>
    <t>VAC 12%</t>
  </si>
  <si>
    <t>Flujo Neto</t>
  </si>
  <si>
    <t>Inversión Capital de Trabajo</t>
  </si>
  <si>
    <t>Valor Libro Máquina Antigua</t>
  </si>
  <si>
    <t>Depreciación Máquina Nueva</t>
  </si>
  <si>
    <t>Resultado Después de Impuestos</t>
  </si>
  <si>
    <t>Ahorro de Impuestos</t>
  </si>
  <si>
    <t>Resultado Antes de Impuesto</t>
  </si>
  <si>
    <t>Valor Libro Máquina Nueva</t>
  </si>
  <si>
    <t>Venta Máquina Antigua</t>
  </si>
  <si>
    <t>Costos de Operación</t>
  </si>
  <si>
    <t>Ahorrro envases</t>
  </si>
  <si>
    <t>En Miles de Pesos</t>
  </si>
  <si>
    <t>Supuesto: La máquina vieja se vende al año 0</t>
  </si>
  <si>
    <t>Alternativa 2 Reemplazar el Equipo Actual</t>
  </si>
  <si>
    <t>Inversión Máquina Nueva</t>
  </si>
  <si>
    <t>Depreciación Mq. Nueva</t>
  </si>
  <si>
    <t>Depreciación Mq. Antigua</t>
  </si>
  <si>
    <t>Ahorro de Impuestos 27%</t>
  </si>
  <si>
    <t>Costo de Operación Mq. Nueva</t>
  </si>
  <si>
    <t>Costo de Operación Mq. Antigua</t>
  </si>
  <si>
    <t>Alternativa 1 Tecnología Complementaria</t>
  </si>
  <si>
    <t>VAN DEUDA</t>
  </si>
  <si>
    <t>VAN PROYECTO PURO</t>
  </si>
  <si>
    <t>Operario</t>
  </si>
  <si>
    <t>Oficinas</t>
  </si>
  <si>
    <t>Secretaria</t>
  </si>
  <si>
    <t xml:space="preserve">Camión </t>
  </si>
  <si>
    <t xml:space="preserve">Depreciación  Camión </t>
  </si>
  <si>
    <t xml:space="preserve">Valor residual Camión </t>
  </si>
  <si>
    <t xml:space="preserve">Vida útil Técnica Camión </t>
  </si>
  <si>
    <t>Precio Compra Máquina Actual</t>
  </si>
  <si>
    <t>Precio Actual Máaquina</t>
  </si>
  <si>
    <t>Años por usarse</t>
  </si>
  <si>
    <t>Impuestos</t>
  </si>
  <si>
    <t xml:space="preserve">Tasa </t>
  </si>
  <si>
    <t>Préstamo</t>
  </si>
  <si>
    <t>Mantencion  Camión</t>
  </si>
  <si>
    <t>Cuotas</t>
  </si>
  <si>
    <t>Pero fue tomado hace dos años.</t>
  </si>
  <si>
    <t>Depreciación Máquina</t>
  </si>
  <si>
    <t>Depreciación Maquina</t>
  </si>
  <si>
    <t>Inversion máquina nueva</t>
  </si>
  <si>
    <t>VAN Incremental Alternativa Máquina Nueva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</si>
</sst>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&quot;$&quot;\-#,##0.00"/>
    <numFmt numFmtId="41" formatCode="_ * #,##0_ ;_ * \-#,##0_ ;_ * &quot;-&quot;_ ;_ @_ "/>
    <numFmt numFmtId="164" formatCode="&quot;$&quot;#,##0;[Red]&quot;$&quot;#,##0"/>
    <numFmt numFmtId="165" formatCode="_ [$$-340A]* #,##0.00_ ;_ [$$-340A]* \-#,##0.00_ ;_ [$$-340A]* &quot;-&quot;??_ ;_ @_ "/>
    <numFmt numFmtId="166" formatCode="&quot;$&quot;#,##0;[Red]\(&quot;$&quot;#,##0\)"/>
    <numFmt numFmtId="167" formatCode="#,##0&quot;Pts&quot;;[Red]\-#,##0&quot;Pts&quot;"/>
    <numFmt numFmtId="168" formatCode="#,##0;\(#,##0\)"/>
  </numFmts>
  <fonts count="12"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b/>
      <sz val="10"/>
      <color theme="2" tint="-0.749992370372631"/>
      <name val="Geneva"/>
    </font>
    <font>
      <sz val="10"/>
      <color theme="0"/>
      <name val="Geneva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Geneva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1" fillId="2" borderId="1" xfId="1" applyFill="1" applyBorder="1"/>
    <xf numFmtId="0" fontId="1" fillId="2" borderId="2" xfId="1" applyFill="1" applyBorder="1"/>
    <xf numFmtId="0" fontId="2" fillId="2" borderId="3" xfId="1" applyFont="1" applyFill="1" applyBorder="1"/>
    <xf numFmtId="0" fontId="1" fillId="2" borderId="4" xfId="1" applyFill="1" applyBorder="1"/>
    <xf numFmtId="0" fontId="1" fillId="2" borderId="0" xfId="1" applyFill="1" applyBorder="1"/>
    <xf numFmtId="0" fontId="2" fillId="2" borderId="5" xfId="1" applyFont="1" applyFill="1" applyBorder="1"/>
    <xf numFmtId="0" fontId="1" fillId="0" borderId="4" xfId="1" applyBorder="1"/>
    <xf numFmtId="0" fontId="1" fillId="0" borderId="0" xfId="1" applyBorder="1"/>
    <xf numFmtId="0" fontId="2" fillId="0" borderId="5" xfId="1" applyFont="1" applyBorder="1"/>
    <xf numFmtId="0" fontId="1" fillId="0" borderId="0" xfId="1" applyFill="1"/>
    <xf numFmtId="0" fontId="2" fillId="3" borderId="4" xfId="1" applyFont="1" applyFill="1" applyBorder="1"/>
    <xf numFmtId="0" fontId="2" fillId="3" borderId="0" xfId="1" applyFont="1" applyFill="1" applyBorder="1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2" fillId="3" borderId="8" xfId="1" applyFont="1" applyFill="1" applyBorder="1"/>
    <xf numFmtId="0" fontId="1" fillId="3" borderId="6" xfId="1" applyFill="1" applyBorder="1"/>
    <xf numFmtId="0" fontId="1" fillId="3" borderId="7" xfId="1" applyFill="1" applyBorder="1"/>
    <xf numFmtId="0" fontId="1" fillId="3" borderId="8" xfId="1" applyFill="1" applyBorder="1"/>
    <xf numFmtId="164" fontId="2" fillId="4" borderId="9" xfId="1" applyNumberFormat="1" applyFont="1" applyFill="1" applyBorder="1"/>
    <xf numFmtId="0" fontId="2" fillId="4" borderId="10" xfId="1" applyFont="1" applyFill="1" applyBorder="1"/>
    <xf numFmtId="8" fontId="1" fillId="0" borderId="0" xfId="1" applyNumberFormat="1"/>
    <xf numFmtId="165" fontId="2" fillId="2" borderId="9" xfId="1" applyNumberFormat="1" applyFont="1" applyFill="1" applyBorder="1"/>
    <xf numFmtId="0" fontId="2" fillId="0" borderId="10" xfId="1" applyFont="1" applyBorder="1"/>
    <xf numFmtId="166" fontId="1" fillId="2" borderId="0" xfId="1" applyNumberFormat="1" applyFill="1"/>
    <xf numFmtId="166" fontId="4" fillId="0" borderId="0" xfId="1" applyNumberFormat="1" applyFont="1" applyFill="1"/>
    <xf numFmtId="166" fontId="1" fillId="0" borderId="0" xfId="1" applyNumberFormat="1"/>
    <xf numFmtId="9" fontId="2" fillId="2" borderId="1" xfId="2" applyFont="1" applyFill="1" applyBorder="1"/>
    <xf numFmtId="166" fontId="2" fillId="2" borderId="6" xfId="1" applyNumberFormat="1" applyFont="1" applyFill="1" applyBorder="1"/>
    <xf numFmtId="0" fontId="2" fillId="2" borderId="8" xfId="1" applyFont="1" applyFill="1" applyBorder="1"/>
    <xf numFmtId="166" fontId="1" fillId="2" borderId="1" xfId="1" applyNumberFormat="1" applyFill="1" applyBorder="1"/>
    <xf numFmtId="166" fontId="1" fillId="2" borderId="2" xfId="1" applyNumberFormat="1" applyFill="1" applyBorder="1"/>
    <xf numFmtId="0" fontId="1" fillId="2" borderId="3" xfId="1" applyFill="1" applyBorder="1"/>
    <xf numFmtId="166" fontId="1" fillId="2" borderId="0" xfId="3" applyNumberFormat="1" applyFont="1" applyFill="1" applyBorder="1"/>
    <xf numFmtId="0" fontId="1" fillId="2" borderId="5" xfId="1" applyFill="1" applyBorder="1"/>
    <xf numFmtId="0" fontId="1" fillId="0" borderId="5" xfId="1" applyBorder="1"/>
    <xf numFmtId="0" fontId="3" fillId="6" borderId="6" xfId="1" applyFont="1" applyFill="1" applyBorder="1"/>
    <xf numFmtId="0" fontId="3" fillId="6" borderId="7" xfId="1" applyFont="1" applyFill="1" applyBorder="1"/>
    <xf numFmtId="0" fontId="3" fillId="6" borderId="8" xfId="1" applyFont="1" applyFill="1" applyBorder="1"/>
    <xf numFmtId="0" fontId="1" fillId="6" borderId="10" xfId="1" applyFill="1" applyBorder="1"/>
    <xf numFmtId="1" fontId="1" fillId="0" borderId="1" xfId="1" applyNumberFormat="1" applyBorder="1"/>
    <xf numFmtId="1" fontId="1" fillId="0" borderId="2" xfId="1" applyNumberFormat="1" applyBorder="1"/>
    <xf numFmtId="0" fontId="1" fillId="0" borderId="2" xfId="1" applyBorder="1"/>
    <xf numFmtId="0" fontId="1" fillId="0" borderId="3" xfId="1" applyBorder="1"/>
    <xf numFmtId="168" fontId="5" fillId="0" borderId="0" xfId="1" applyNumberFormat="1" applyFont="1"/>
    <xf numFmtId="166" fontId="1" fillId="0" borderId="9" xfId="1" applyNumberFormat="1" applyBorder="1"/>
    <xf numFmtId="0" fontId="3" fillId="6" borderId="10" xfId="1" applyFont="1" applyFill="1" applyBorder="1"/>
    <xf numFmtId="168" fontId="5" fillId="0" borderId="0" xfId="1" applyNumberFormat="1" applyFont="1" applyBorder="1"/>
    <xf numFmtId="168" fontId="6" fillId="0" borderId="0" xfId="1" applyNumberFormat="1" applyFont="1" applyAlignment="1">
      <alignment horizontal="center"/>
    </xf>
    <xf numFmtId="168" fontId="7" fillId="0" borderId="0" xfId="1" applyNumberFormat="1" applyFont="1"/>
    <xf numFmtId="168" fontId="8" fillId="0" borderId="0" xfId="1" applyNumberFormat="1" applyFont="1"/>
    <xf numFmtId="168" fontId="9" fillId="0" borderId="0" xfId="1" applyNumberFormat="1" applyFont="1"/>
    <xf numFmtId="168" fontId="6" fillId="0" borderId="0" xfId="1" applyNumberFormat="1" applyFont="1" applyBorder="1"/>
    <xf numFmtId="168" fontId="6" fillId="0" borderId="0" xfId="1" applyNumberFormat="1" applyFont="1" applyBorder="1" applyAlignment="1">
      <alignment horizontal="center"/>
    </xf>
    <xf numFmtId="3" fontId="1" fillId="0" borderId="2" xfId="1" applyNumberFormat="1" applyBorder="1"/>
    <xf numFmtId="0" fontId="3" fillId="6" borderId="5" xfId="1" applyFont="1" applyFill="1" applyBorder="1"/>
    <xf numFmtId="166" fontId="1" fillId="2" borderId="0" xfId="1" applyNumberFormat="1" applyFill="1" applyBorder="1"/>
    <xf numFmtId="166" fontId="1" fillId="2" borderId="4" xfId="1" applyNumberFormat="1" applyFill="1" applyBorder="1"/>
    <xf numFmtId="168" fontId="5" fillId="2" borderId="0" xfId="1" applyNumberFormat="1" applyFont="1" applyFill="1" applyBorder="1"/>
    <xf numFmtId="168" fontId="5" fillId="2" borderId="4" xfId="1" applyNumberFormat="1" applyFont="1" applyFill="1" applyBorder="1"/>
    <xf numFmtId="0" fontId="3" fillId="0" borderId="0" xfId="1" applyFont="1" applyFill="1" applyBorder="1"/>
    <xf numFmtId="166" fontId="1" fillId="0" borderId="0" xfId="1" applyNumberFormat="1" applyFill="1"/>
    <xf numFmtId="166" fontId="1" fillId="2" borderId="4" xfId="3" applyNumberFormat="1" applyFont="1" applyFill="1" applyBorder="1"/>
    <xf numFmtId="3" fontId="1" fillId="0" borderId="1" xfId="1" applyNumberFormat="1" applyBorder="1"/>
    <xf numFmtId="8" fontId="1" fillId="0" borderId="0" xfId="1" applyNumberFormat="1" applyFill="1"/>
    <xf numFmtId="166" fontId="1" fillId="0" borderId="0" xfId="1" applyNumberFormat="1" applyBorder="1"/>
    <xf numFmtId="166" fontId="1" fillId="0" borderId="4" xfId="1" applyNumberFormat="1" applyBorder="1"/>
    <xf numFmtId="9" fontId="1" fillId="2" borderId="0" xfId="2" applyFont="1" applyFill="1" applyBorder="1"/>
    <xf numFmtId="9" fontId="1" fillId="2" borderId="4" xfId="2" applyFont="1" applyFill="1" applyBorder="1"/>
    <xf numFmtId="0" fontId="2" fillId="7" borderId="3" xfId="1" applyFont="1" applyFill="1" applyBorder="1"/>
    <xf numFmtId="166" fontId="1" fillId="7" borderId="2" xfId="1" applyNumberFormat="1" applyFill="1" applyBorder="1"/>
    <xf numFmtId="166" fontId="1" fillId="7" borderId="1" xfId="1" applyNumberFormat="1" applyFill="1" applyBorder="1"/>
    <xf numFmtId="0" fontId="2" fillId="5" borderId="3" xfId="1" applyFont="1" applyFill="1" applyBorder="1"/>
    <xf numFmtId="166" fontId="2" fillId="5" borderId="2" xfId="1" applyNumberFormat="1" applyFont="1" applyFill="1" applyBorder="1"/>
    <xf numFmtId="166" fontId="2" fillId="5" borderId="1" xfId="1" applyNumberFormat="1" applyFont="1" applyFill="1" applyBorder="1"/>
    <xf numFmtId="165" fontId="1" fillId="0" borderId="0" xfId="1" applyNumberFormat="1" applyFill="1"/>
    <xf numFmtId="0" fontId="2" fillId="0" borderId="0" xfId="1" applyFont="1" applyFill="1" applyBorder="1"/>
    <xf numFmtId="9" fontId="2" fillId="0" borderId="0" xfId="2" applyFont="1" applyFill="1" applyBorder="1"/>
    <xf numFmtId="0" fontId="2" fillId="4" borderId="8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8" fontId="9" fillId="0" borderId="10" xfId="1" applyNumberFormat="1" applyFont="1" applyBorder="1" applyAlignment="1">
      <alignment horizontal="center"/>
    </xf>
    <xf numFmtId="168" fontId="9" fillId="0" borderId="9" xfId="1" applyNumberFormat="1" applyFont="1" applyBorder="1" applyAlignment="1">
      <alignment horizontal="center"/>
    </xf>
    <xf numFmtId="41" fontId="1" fillId="2" borderId="0" xfId="4" applyFont="1" applyFill="1" applyBorder="1"/>
    <xf numFmtId="41" fontId="1" fillId="0" borderId="0" xfId="4" applyFont="1" applyBorder="1"/>
    <xf numFmtId="41" fontId="1" fillId="2" borderId="2" xfId="4" applyFont="1" applyFill="1" applyBorder="1"/>
    <xf numFmtId="9" fontId="1" fillId="2" borderId="0" xfId="5" applyFont="1" applyFill="1" applyBorder="1"/>
    <xf numFmtId="0" fontId="2" fillId="2" borderId="12" xfId="1" applyFont="1" applyFill="1" applyBorder="1"/>
    <xf numFmtId="166" fontId="1" fillId="2" borderId="13" xfId="1" applyNumberFormat="1" applyFill="1" applyBorder="1"/>
    <xf numFmtId="166" fontId="1" fillId="2" borderId="14" xfId="1" applyNumberFormat="1" applyFill="1" applyBorder="1"/>
    <xf numFmtId="0" fontId="1" fillId="2" borderId="15" xfId="1" applyFill="1" applyBorder="1"/>
    <xf numFmtId="166" fontId="1" fillId="2" borderId="16" xfId="1" applyNumberFormat="1" applyFill="1" applyBorder="1"/>
    <xf numFmtId="166" fontId="1" fillId="2" borderId="17" xfId="1" applyNumberFormat="1" applyFill="1" applyBorder="1"/>
    <xf numFmtId="0" fontId="2" fillId="2" borderId="18" xfId="1" applyFont="1" applyFill="1" applyBorder="1"/>
    <xf numFmtId="166" fontId="1" fillId="2" borderId="19" xfId="1" applyNumberFormat="1" applyFill="1" applyBorder="1"/>
    <xf numFmtId="166" fontId="1" fillId="2" borderId="20" xfId="1" applyNumberFormat="1" applyFill="1" applyBorder="1"/>
    <xf numFmtId="0" fontId="3" fillId="6" borderId="11" xfId="1" applyFont="1" applyFill="1" applyBorder="1" applyAlignment="1">
      <alignment horizontal="right"/>
    </xf>
    <xf numFmtId="0" fontId="3" fillId="6" borderId="9" xfId="1" applyFont="1" applyFill="1" applyBorder="1" applyAlignment="1">
      <alignment horizontal="right"/>
    </xf>
    <xf numFmtId="0" fontId="3" fillId="6" borderId="7" xfId="1" applyFont="1" applyFill="1" applyBorder="1" applyAlignment="1">
      <alignment horizontal="right"/>
    </xf>
    <xf numFmtId="0" fontId="3" fillId="6" borderId="6" xfId="1" applyFont="1" applyFill="1" applyBorder="1" applyAlignment="1">
      <alignment horizontal="right"/>
    </xf>
    <xf numFmtId="166" fontId="1" fillId="2" borderId="11" xfId="1" applyNumberFormat="1" applyFill="1" applyBorder="1"/>
    <xf numFmtId="166" fontId="1" fillId="2" borderId="9" xfId="1" applyNumberFormat="1" applyFill="1" applyBorder="1"/>
    <xf numFmtId="0" fontId="3" fillId="6" borderId="21" xfId="1" applyFont="1" applyFill="1" applyBorder="1"/>
    <xf numFmtId="166" fontId="1" fillId="2" borderId="22" xfId="1" applyNumberFormat="1" applyFill="1" applyBorder="1"/>
    <xf numFmtId="0" fontId="3" fillId="6" borderId="23" xfId="1" applyFont="1" applyFill="1" applyBorder="1"/>
    <xf numFmtId="166" fontId="1" fillId="2" borderId="24" xfId="1" applyNumberFormat="1" applyFill="1" applyBorder="1"/>
  </cellXfs>
  <cellStyles count="6">
    <cellStyle name="Millares [0]" xfId="4" builtinId="6"/>
    <cellStyle name="Moneda [0] 2" xfId="3" xr:uid="{89AC5F3F-4FEB-484E-A5BD-5B23F22C4F72}"/>
    <cellStyle name="Normal" xfId="0" builtinId="0"/>
    <cellStyle name="Normal 2" xfId="1" xr:uid="{F224A121-B444-4BB6-A89C-0082F4990E69}"/>
    <cellStyle name="Porcentaje" xfId="5" builtinId="5"/>
    <cellStyle name="Porcentaje 2" xfId="2" xr:uid="{8E5C6AFC-A4D6-4B0E-B446-0DF8842DF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4242-057D-45B3-B39C-724B73B7F69E}">
  <dimension ref="B2:P21"/>
  <sheetViews>
    <sheetView workbookViewId="0">
      <selection activeCell="F30" sqref="F30"/>
    </sheetView>
  </sheetViews>
  <sheetFormatPr baseColWidth="10" defaultColWidth="11.3828125" defaultRowHeight="12.45"/>
  <cols>
    <col min="1" max="1" width="11.3828125" style="1"/>
    <col min="2" max="2" width="22" style="1" customWidth="1"/>
    <col min="3" max="5" width="11.3828125" style="1"/>
    <col min="6" max="6" width="35.3046875" style="1" bestFit="1" customWidth="1"/>
    <col min="7" max="8" width="21.3046875" style="1" customWidth="1"/>
    <col min="9" max="9" width="11.3828125" style="1"/>
    <col min="10" max="10" width="13.69140625" style="1" bestFit="1" customWidth="1"/>
    <col min="11" max="11" width="18.15234375" style="1" customWidth="1"/>
    <col min="12" max="12" width="11.3828125" style="1"/>
    <col min="13" max="13" width="14.69140625" style="1" bestFit="1" customWidth="1"/>
    <col min="14" max="14" width="22.53515625" style="1" bestFit="1" customWidth="1"/>
    <col min="15" max="16384" width="11.3828125" style="1"/>
  </cols>
  <sheetData>
    <row r="2" spans="2:16" ht="12.9" thickBot="1"/>
    <row r="3" spans="2:16">
      <c r="B3" s="20" t="s">
        <v>16</v>
      </c>
      <c r="C3" s="19" t="s">
        <v>36</v>
      </c>
      <c r="D3" s="18" t="s">
        <v>35</v>
      </c>
      <c r="F3" s="17" t="s">
        <v>29</v>
      </c>
      <c r="G3" s="16" t="s">
        <v>28</v>
      </c>
      <c r="H3" s="15" t="s">
        <v>27</v>
      </c>
      <c r="J3" s="80" t="s">
        <v>34</v>
      </c>
      <c r="K3" s="81"/>
      <c r="L3" s="82"/>
      <c r="N3" s="80" t="s">
        <v>33</v>
      </c>
      <c r="O3" s="81"/>
      <c r="P3" s="82"/>
    </row>
    <row r="4" spans="2:16">
      <c r="B4" s="7" t="s">
        <v>32</v>
      </c>
      <c r="C4" s="95">
        <v>3500000</v>
      </c>
      <c r="D4" s="5" t="s">
        <v>8</v>
      </c>
      <c r="F4" s="7" t="s">
        <v>31</v>
      </c>
      <c r="G4" s="6">
        <v>1000</v>
      </c>
      <c r="H4" s="5"/>
      <c r="I4" s="11"/>
      <c r="J4" s="14" t="s">
        <v>30</v>
      </c>
      <c r="K4" s="13" t="s">
        <v>28</v>
      </c>
      <c r="L4" s="12" t="s">
        <v>27</v>
      </c>
      <c r="N4" s="14" t="s">
        <v>29</v>
      </c>
      <c r="O4" s="13" t="s">
        <v>28</v>
      </c>
      <c r="P4" s="12" t="s">
        <v>27</v>
      </c>
    </row>
    <row r="5" spans="2:16">
      <c r="B5" s="7" t="s">
        <v>115</v>
      </c>
      <c r="C5" s="95">
        <v>200000</v>
      </c>
      <c r="D5" s="5" t="s">
        <v>26</v>
      </c>
      <c r="F5" s="7" t="s">
        <v>25</v>
      </c>
      <c r="G5" s="98">
        <v>0.03</v>
      </c>
      <c r="H5" s="5"/>
      <c r="I5" s="11"/>
      <c r="J5" s="7" t="s">
        <v>24</v>
      </c>
      <c r="K5" s="6">
        <v>32000000</v>
      </c>
      <c r="L5" s="5"/>
      <c r="N5" s="7" t="s">
        <v>24</v>
      </c>
      <c r="O5" s="6">
        <v>75000000</v>
      </c>
      <c r="P5" s="5"/>
    </row>
    <row r="6" spans="2:16">
      <c r="B6" s="7" t="s">
        <v>23</v>
      </c>
      <c r="C6" s="95">
        <v>200000</v>
      </c>
      <c r="D6" s="5" t="s">
        <v>22</v>
      </c>
      <c r="F6" s="7" t="s">
        <v>21</v>
      </c>
      <c r="G6" s="95">
        <v>300000</v>
      </c>
      <c r="H6" s="5"/>
      <c r="I6" s="11"/>
      <c r="J6" s="7" t="s">
        <v>19</v>
      </c>
      <c r="K6" s="6">
        <v>10</v>
      </c>
      <c r="L6" s="5" t="s">
        <v>20</v>
      </c>
      <c r="N6" s="7" t="s">
        <v>19</v>
      </c>
      <c r="O6" s="6">
        <v>10</v>
      </c>
      <c r="P6" s="5"/>
    </row>
    <row r="7" spans="2:16">
      <c r="B7" s="7" t="s">
        <v>18</v>
      </c>
      <c r="C7" s="95">
        <v>5000000</v>
      </c>
      <c r="D7" s="5" t="s">
        <v>8</v>
      </c>
      <c r="F7" s="7" t="s">
        <v>105</v>
      </c>
      <c r="G7" s="95">
        <v>20000000</v>
      </c>
      <c r="H7" s="5"/>
      <c r="J7" s="7" t="s">
        <v>17</v>
      </c>
      <c r="K7" s="6">
        <v>2000000</v>
      </c>
      <c r="L7" s="5"/>
      <c r="N7" s="7" t="s">
        <v>17</v>
      </c>
      <c r="O7" s="6"/>
      <c r="P7" s="5"/>
    </row>
    <row r="8" spans="2:16">
      <c r="B8" s="7" t="s">
        <v>102</v>
      </c>
      <c r="C8" s="95">
        <v>400000</v>
      </c>
      <c r="D8" s="5" t="s">
        <v>8</v>
      </c>
      <c r="F8" s="7" t="s">
        <v>106</v>
      </c>
      <c r="G8" s="6">
        <v>10</v>
      </c>
      <c r="H8" s="8" t="s">
        <v>0</v>
      </c>
      <c r="J8" s="7" t="s">
        <v>16</v>
      </c>
      <c r="K8" s="6">
        <v>40000</v>
      </c>
      <c r="L8" s="5" t="s">
        <v>15</v>
      </c>
      <c r="N8" s="7" t="s">
        <v>16</v>
      </c>
      <c r="O8" s="6">
        <v>55000</v>
      </c>
      <c r="P8" s="5" t="s">
        <v>15</v>
      </c>
    </row>
    <row r="9" spans="2:16" ht="12.9" thickBot="1">
      <c r="B9" s="7" t="s">
        <v>14</v>
      </c>
      <c r="C9" s="95">
        <v>50000</v>
      </c>
      <c r="D9" s="5" t="s">
        <v>9</v>
      </c>
      <c r="F9" s="7" t="s">
        <v>107</v>
      </c>
      <c r="G9" s="95">
        <v>3000000</v>
      </c>
      <c r="H9" s="5"/>
      <c r="J9" s="4" t="s">
        <v>12</v>
      </c>
      <c r="K9" s="3">
        <v>2</v>
      </c>
      <c r="L9" s="2" t="s">
        <v>13</v>
      </c>
      <c r="N9" s="7" t="s">
        <v>12</v>
      </c>
      <c r="O9" s="6"/>
      <c r="P9" s="5"/>
    </row>
    <row r="10" spans="2:16" ht="12.9" thickBot="1">
      <c r="B10" s="7" t="s">
        <v>11</v>
      </c>
      <c r="C10" s="95">
        <v>350000</v>
      </c>
      <c r="D10" s="5" t="s">
        <v>8</v>
      </c>
      <c r="F10" s="7" t="s">
        <v>108</v>
      </c>
      <c r="G10" s="6">
        <v>15</v>
      </c>
      <c r="H10" s="8" t="s">
        <v>0</v>
      </c>
      <c r="N10" s="4" t="s">
        <v>10</v>
      </c>
      <c r="O10" s="3">
        <v>5000</v>
      </c>
      <c r="P10" s="2" t="s">
        <v>9</v>
      </c>
    </row>
    <row r="11" spans="2:16">
      <c r="B11" s="7" t="s">
        <v>103</v>
      </c>
      <c r="C11" s="95">
        <v>300000</v>
      </c>
      <c r="D11" s="5" t="s">
        <v>8</v>
      </c>
      <c r="F11" s="7" t="s">
        <v>114</v>
      </c>
      <c r="G11" s="95">
        <v>15000000</v>
      </c>
      <c r="H11" s="5"/>
    </row>
    <row r="12" spans="2:16">
      <c r="B12" s="7" t="s">
        <v>104</v>
      </c>
      <c r="C12" s="95">
        <v>350000</v>
      </c>
      <c r="D12" s="5" t="s">
        <v>8</v>
      </c>
      <c r="F12" s="7" t="s">
        <v>7</v>
      </c>
      <c r="G12" s="6">
        <v>0.08</v>
      </c>
      <c r="H12" s="5"/>
    </row>
    <row r="13" spans="2:16" ht="12.9" thickBot="1">
      <c r="B13" s="4" t="s">
        <v>6</v>
      </c>
      <c r="C13" s="97">
        <v>250000</v>
      </c>
      <c r="D13" s="2" t="s">
        <v>5</v>
      </c>
      <c r="F13" s="7" t="s">
        <v>116</v>
      </c>
      <c r="G13" s="6">
        <v>10</v>
      </c>
      <c r="H13" s="5"/>
    </row>
    <row r="14" spans="2:16">
      <c r="F14" s="10" t="s">
        <v>109</v>
      </c>
      <c r="G14" s="96">
        <v>25000000</v>
      </c>
      <c r="H14" s="8"/>
    </row>
    <row r="15" spans="2:16">
      <c r="F15" s="7" t="s">
        <v>110</v>
      </c>
      <c r="G15" s="95">
        <v>20000000</v>
      </c>
      <c r="H15" s="5"/>
    </row>
    <row r="16" spans="2:16">
      <c r="F16" s="7" t="s">
        <v>111</v>
      </c>
      <c r="G16" s="6">
        <v>10</v>
      </c>
      <c r="H16" s="5"/>
    </row>
    <row r="17" spans="6:8">
      <c r="F17" s="7" t="s">
        <v>4</v>
      </c>
      <c r="G17" s="95">
        <v>42000</v>
      </c>
      <c r="H17" s="8"/>
    </row>
    <row r="18" spans="6:8">
      <c r="F18" s="7" t="s">
        <v>3</v>
      </c>
      <c r="G18" s="6">
        <v>6</v>
      </c>
      <c r="H18" s="8" t="s">
        <v>2</v>
      </c>
    </row>
    <row r="19" spans="6:8">
      <c r="F19" s="7" t="s">
        <v>112</v>
      </c>
      <c r="G19" s="98">
        <v>0.27</v>
      </c>
      <c r="H19" s="5"/>
    </row>
    <row r="20" spans="6:8">
      <c r="F20" s="7" t="s">
        <v>113</v>
      </c>
      <c r="G20" s="98">
        <v>0.12</v>
      </c>
      <c r="H20" s="5"/>
    </row>
    <row r="21" spans="6:8" ht="12.9" thickBot="1">
      <c r="F21" s="4" t="s">
        <v>1</v>
      </c>
      <c r="G21" s="3">
        <v>10</v>
      </c>
      <c r="H21" s="2" t="s">
        <v>0</v>
      </c>
    </row>
  </sheetData>
  <mergeCells count="2">
    <mergeCell ref="J3:L3"/>
    <mergeCell ref="N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6E7B-5BB2-4314-B703-9B3FEF2CB881}">
  <dimension ref="B1:Z73"/>
  <sheetViews>
    <sheetView workbookViewId="0">
      <selection activeCell="X25" sqref="X25"/>
    </sheetView>
  </sheetViews>
  <sheetFormatPr baseColWidth="10" defaultColWidth="11.3828125" defaultRowHeight="12.45"/>
  <cols>
    <col min="1" max="1" width="11.3828125" style="1"/>
    <col min="2" max="2" width="26.15234375" style="1" bestFit="1" customWidth="1"/>
    <col min="3" max="3" width="17" style="1" bestFit="1" customWidth="1"/>
    <col min="4" max="13" width="15.84375" style="1" bestFit="1" customWidth="1"/>
    <col min="14" max="14" width="11.3828125" style="1"/>
    <col min="15" max="15" width="13.15234375" style="1" bestFit="1" customWidth="1"/>
    <col min="16" max="16" width="12.3046875" style="1" bestFit="1" customWidth="1"/>
    <col min="17" max="18" width="11.3828125" style="1"/>
    <col min="19" max="26" width="12.15234375" style="1" bestFit="1" customWidth="1"/>
    <col min="27" max="16384" width="11.3828125" style="1"/>
  </cols>
  <sheetData>
    <row r="1" spans="2:26" ht="12.9" thickBot="1"/>
    <row r="2" spans="2:26">
      <c r="B2" s="87" t="s">
        <v>101</v>
      </c>
      <c r="C2" s="88"/>
      <c r="D2" s="89"/>
    </row>
    <row r="3" spans="2:26" ht="12.9" thickBot="1">
      <c r="B3" s="90"/>
      <c r="C3" s="91"/>
      <c r="D3" s="92"/>
    </row>
    <row r="6" spans="2:26" ht="12.9" thickBot="1"/>
    <row r="7" spans="2:26">
      <c r="B7" s="40" t="s">
        <v>12</v>
      </c>
      <c r="C7" s="39"/>
      <c r="D7" s="110" t="s">
        <v>53</v>
      </c>
      <c r="E7" s="110" t="s">
        <v>52</v>
      </c>
      <c r="F7" s="110" t="s">
        <v>51</v>
      </c>
      <c r="G7" s="110" t="s">
        <v>50</v>
      </c>
      <c r="H7" s="110" t="s">
        <v>49</v>
      </c>
      <c r="I7" s="110" t="s">
        <v>48</v>
      </c>
      <c r="J7" s="110" t="s">
        <v>47</v>
      </c>
      <c r="K7" s="110" t="s">
        <v>46</v>
      </c>
      <c r="L7" s="110" t="s">
        <v>45</v>
      </c>
      <c r="M7" s="111" t="s">
        <v>44</v>
      </c>
    </row>
    <row r="8" spans="2:26">
      <c r="B8" s="37"/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9" spans="2:26" ht="12.9" thickBot="1">
      <c r="B9" s="45" t="s">
        <v>77</v>
      </c>
      <c r="C9" s="44"/>
      <c r="D9" s="44">
        <f>Datos!G4</f>
        <v>1000</v>
      </c>
      <c r="E9" s="43">
        <f>D9*(1+Datos!$G$5)</f>
        <v>1030</v>
      </c>
      <c r="F9" s="43">
        <f>E9*(1+Datos!$G$5)</f>
        <v>1060.9000000000001</v>
      </c>
      <c r="G9" s="43">
        <f>F9*(1+Datos!$G$5)</f>
        <v>1092.7270000000001</v>
      </c>
      <c r="H9" s="43">
        <f>G9*(1+Datos!$G$5)</f>
        <v>1125.50881</v>
      </c>
      <c r="I9" s="43">
        <f>H9*(1+Datos!$G$5)</f>
        <v>1159.2740743000002</v>
      </c>
      <c r="J9" s="43">
        <f>I9*(1+Datos!$G$5)</f>
        <v>1194.0522965290002</v>
      </c>
      <c r="K9" s="43">
        <f>J9*(1+Datos!$G$5)</f>
        <v>1229.8738654248702</v>
      </c>
      <c r="L9" s="43">
        <f>K9*(1+Datos!$G$5)</f>
        <v>1266.7700813876163</v>
      </c>
      <c r="M9" s="42">
        <f>L9*(1+Datos!$G$5)</f>
        <v>1304.7731838292448</v>
      </c>
    </row>
    <row r="12" spans="2:26" ht="12.9" thickBot="1"/>
    <row r="13" spans="2:26" ht="12.9" thickBot="1">
      <c r="B13" s="41"/>
      <c r="C13" s="108" t="s">
        <v>54</v>
      </c>
      <c r="D13" s="108" t="s">
        <v>53</v>
      </c>
      <c r="E13" s="108" t="s">
        <v>52</v>
      </c>
      <c r="F13" s="108" t="s">
        <v>51</v>
      </c>
      <c r="G13" s="108" t="s">
        <v>50</v>
      </c>
      <c r="H13" s="108" t="s">
        <v>49</v>
      </c>
      <c r="I13" s="108" t="s">
        <v>48</v>
      </c>
      <c r="J13" s="108" t="s">
        <v>47</v>
      </c>
      <c r="K13" s="108" t="s">
        <v>46</v>
      </c>
      <c r="L13" s="108" t="s">
        <v>45</v>
      </c>
      <c r="M13" s="109" t="s">
        <v>44</v>
      </c>
      <c r="O13" s="40"/>
      <c r="P13" s="110" t="s">
        <v>54</v>
      </c>
      <c r="Q13" s="110" t="s">
        <v>53</v>
      </c>
      <c r="R13" s="110" t="s">
        <v>52</v>
      </c>
      <c r="S13" s="110" t="s">
        <v>51</v>
      </c>
      <c r="T13" s="110" t="s">
        <v>50</v>
      </c>
      <c r="U13" s="110" t="s">
        <v>49</v>
      </c>
      <c r="V13" s="110" t="s">
        <v>48</v>
      </c>
      <c r="W13" s="110" t="s">
        <v>47</v>
      </c>
      <c r="X13" s="110" t="s">
        <v>46</v>
      </c>
      <c r="Y13" s="110" t="s">
        <v>45</v>
      </c>
      <c r="Z13" s="111" t="s">
        <v>44</v>
      </c>
    </row>
    <row r="14" spans="2:26">
      <c r="B14" s="3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37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</row>
    <row r="15" spans="2:26">
      <c r="B15" s="36" t="s">
        <v>76</v>
      </c>
      <c r="C15" s="58"/>
      <c r="D15" s="35">
        <f>D9*Datos!$G$6</f>
        <v>300000000</v>
      </c>
      <c r="E15" s="35">
        <f>E9*Datos!$G$6</f>
        <v>309000000</v>
      </c>
      <c r="F15" s="35">
        <f>F9*Datos!$G$6</f>
        <v>318270000</v>
      </c>
      <c r="G15" s="35">
        <f>G9*Datos!$G$6</f>
        <v>327818100</v>
      </c>
      <c r="H15" s="35">
        <f>H9*Datos!$G$6</f>
        <v>337652643</v>
      </c>
      <c r="I15" s="35">
        <f>I9*Datos!$G$6</f>
        <v>347782222.29000002</v>
      </c>
      <c r="J15" s="35">
        <f>J9*Datos!$G$6</f>
        <v>358215688.95870006</v>
      </c>
      <c r="K15" s="35">
        <f>K9*Datos!$G$6</f>
        <v>368962159.62746108</v>
      </c>
      <c r="L15" s="35">
        <f>L9*Datos!$G$6</f>
        <v>380031024.41628492</v>
      </c>
      <c r="M15" s="64">
        <f>M9*Datos!$G$6</f>
        <v>391431955.14877343</v>
      </c>
      <c r="O15" s="36" t="s">
        <v>75</v>
      </c>
      <c r="P15" s="35">
        <f>(Datos!$C$9+Datos!$G$17)*D9/2</f>
        <v>46000000</v>
      </c>
      <c r="Q15" s="35">
        <f>(Datos!$C$9+Datos!$G$17)*E9/2</f>
        <v>47380000</v>
      </c>
      <c r="R15" s="35">
        <f>(Datos!$C$9+Datos!$G$17)*F9/2</f>
        <v>48801400.000000007</v>
      </c>
      <c r="S15" s="35">
        <f>(Datos!$C$9+Datos!$G$17)*G9/2</f>
        <v>50265442.000000007</v>
      </c>
      <c r="T15" s="35">
        <f>(Datos!$C$9+Datos!$G$17)*H9/2</f>
        <v>51773405.260000005</v>
      </c>
      <c r="U15" s="35">
        <f>(Datos!$C$9+Datos!$G$17)*I9/2</f>
        <v>53326607.417800009</v>
      </c>
      <c r="V15" s="35">
        <f>(Datos!$C$9+Datos!$G$17)*J9/2</f>
        <v>54926405.64033401</v>
      </c>
      <c r="W15" s="35">
        <f>(Datos!$C$9+Datos!$G$17)*K9/2</f>
        <v>56574197.809544034</v>
      </c>
      <c r="X15" s="35">
        <f>(Datos!$C$9+Datos!$G$17)*L9/2</f>
        <v>58271423.743830353</v>
      </c>
      <c r="Y15" s="35">
        <f>(Datos!$C$9+Datos!$G$17)*M9/2</f>
        <v>60019566.456145257</v>
      </c>
      <c r="Z15" s="35">
        <f>(Datos!$C$9+Datos!$G$17)*N9/2</f>
        <v>0</v>
      </c>
    </row>
    <row r="16" spans="2:26" ht="12.9" thickBot="1">
      <c r="B16" s="36" t="s">
        <v>74</v>
      </c>
      <c r="C16" s="58"/>
      <c r="D16" s="58">
        <f>-Datos!$G$17*D9</f>
        <v>-42000000</v>
      </c>
      <c r="E16" s="58">
        <f>-Datos!$G$17*E9</f>
        <v>-43260000</v>
      </c>
      <c r="F16" s="58">
        <f>-Datos!$G$17*F9</f>
        <v>-44557800.000000007</v>
      </c>
      <c r="G16" s="58">
        <f>-Datos!$G$17*G9</f>
        <v>-45894534.000000007</v>
      </c>
      <c r="H16" s="58">
        <f>-Datos!$G$17*H9</f>
        <v>-47271370.020000003</v>
      </c>
      <c r="I16" s="58">
        <f>-Datos!$G$17*I9</f>
        <v>-48689511.120600007</v>
      </c>
      <c r="J16" s="58">
        <f>-Datos!$G$17*J9</f>
        <v>-50150196.454218008</v>
      </c>
      <c r="K16" s="58">
        <f>-Datos!$G$17*K9</f>
        <v>-51654702.347844549</v>
      </c>
      <c r="L16" s="58">
        <f>-Datos!$G$17*L9</f>
        <v>-53204343.418279886</v>
      </c>
      <c r="M16" s="59">
        <f>-Datos!$G$17*M9</f>
        <v>-54800473.72082828</v>
      </c>
      <c r="O16" s="34" t="s">
        <v>73</v>
      </c>
      <c r="P16" s="33">
        <f>-P15</f>
        <v>-46000000</v>
      </c>
      <c r="Q16" s="33">
        <f>-Q15-P16</f>
        <v>-1380000</v>
      </c>
      <c r="R16" s="33">
        <f>-R15-SUM(P16:Q16)</f>
        <v>-1421400.0000000075</v>
      </c>
      <c r="S16" s="33">
        <f>-S15-SUM(P16:R16)</f>
        <v>-1464042</v>
      </c>
      <c r="T16" s="33">
        <f>-T15-SUM(P16:S16)</f>
        <v>-1507963.2599999979</v>
      </c>
      <c r="U16" s="33">
        <f>-U15-SUM(P16:T16)</f>
        <v>-1553202.1578000039</v>
      </c>
      <c r="V16" s="33">
        <f>-V15-SUM(P16:U16)</f>
        <v>-1599798.2225340009</v>
      </c>
      <c r="W16" s="33">
        <f>-W15-SUM(P16:V16)</f>
        <v>-1647792.1692100242</v>
      </c>
      <c r="X16" s="33">
        <f>-X15-SUM(P16:W16)</f>
        <v>-1697225.9342863187</v>
      </c>
      <c r="Y16" s="33">
        <f>-Y15-SUM(P16:X16)</f>
        <v>-1748142.7123149037</v>
      </c>
      <c r="Z16" s="32">
        <f>-SUM(P16:Y16)</f>
        <v>60019566.456145257</v>
      </c>
    </row>
    <row r="17" spans="2:13">
      <c r="B17" s="36" t="s">
        <v>14</v>
      </c>
      <c r="C17" s="58"/>
      <c r="D17" s="58">
        <f>-Datos!$C$9*'Valorización sin Ampliación'!D9</f>
        <v>-50000000</v>
      </c>
      <c r="E17" s="58">
        <f>-Datos!$C$9*'Valorización sin Ampliación'!E9</f>
        <v>-51500000</v>
      </c>
      <c r="F17" s="58">
        <f>-Datos!$C$9*'Valorización sin Ampliación'!F9</f>
        <v>-53045000.000000007</v>
      </c>
      <c r="G17" s="58">
        <f>-Datos!$C$9*'Valorización sin Ampliación'!G9</f>
        <v>-54636350.000000007</v>
      </c>
      <c r="H17" s="58">
        <f>-Datos!$C$9*'Valorización sin Ampliación'!H9</f>
        <v>-56275440.5</v>
      </c>
      <c r="I17" s="58">
        <f>-Datos!$C$9*'Valorización sin Ampliación'!I9</f>
        <v>-57963703.715000011</v>
      </c>
      <c r="J17" s="58">
        <f>-Datos!$C$9*'Valorización sin Ampliación'!J9</f>
        <v>-59702614.826450005</v>
      </c>
      <c r="K17" s="58">
        <f>-Datos!$C$9*'Valorización sin Ampliación'!K9</f>
        <v>-61493693.271243513</v>
      </c>
      <c r="L17" s="58">
        <f>-Datos!$C$9*'Valorización sin Ampliación'!L9</f>
        <v>-63338504.069380812</v>
      </c>
      <c r="M17" s="59">
        <f>-Datos!$C$9*'Valorización sin Ampliación'!M9</f>
        <v>-65238659.191462241</v>
      </c>
    </row>
    <row r="18" spans="2:13">
      <c r="B18" s="36" t="s">
        <v>72</v>
      </c>
      <c r="C18" s="58"/>
      <c r="D18" s="58">
        <f>-Datos!$C$10*12</f>
        <v>-4200000</v>
      </c>
      <c r="E18" s="58">
        <f>-Datos!$C$10*12</f>
        <v>-4200000</v>
      </c>
      <c r="F18" s="58">
        <f>-Datos!$C$10*12</f>
        <v>-4200000</v>
      </c>
      <c r="G18" s="58">
        <f>-Datos!$C$10*12</f>
        <v>-4200000</v>
      </c>
      <c r="H18" s="58">
        <f>-Datos!$C$10*12</f>
        <v>-4200000</v>
      </c>
      <c r="I18" s="58">
        <f>-Datos!$C$10*12</f>
        <v>-4200000</v>
      </c>
      <c r="J18" s="58">
        <f>-Datos!$C$10*12</f>
        <v>-4200000</v>
      </c>
      <c r="K18" s="58">
        <f>-Datos!$C$10*12</f>
        <v>-4200000</v>
      </c>
      <c r="L18" s="58">
        <f>-Datos!$C$10*12</f>
        <v>-4200000</v>
      </c>
      <c r="M18" s="59">
        <f>-Datos!$C$10*12</f>
        <v>-4200000</v>
      </c>
    </row>
    <row r="19" spans="2:13">
      <c r="B19" s="105" t="s">
        <v>71</v>
      </c>
      <c r="C19" s="106"/>
      <c r="D19" s="106">
        <f t="shared" ref="D19:M19" si="0">SUM(D15:D18)</f>
        <v>203800000</v>
      </c>
      <c r="E19" s="106">
        <f t="shared" si="0"/>
        <v>210040000</v>
      </c>
      <c r="F19" s="106">
        <f t="shared" si="0"/>
        <v>216467200</v>
      </c>
      <c r="G19" s="106">
        <f t="shared" si="0"/>
        <v>223087216</v>
      </c>
      <c r="H19" s="106">
        <f t="shared" si="0"/>
        <v>229905832.48000002</v>
      </c>
      <c r="I19" s="106">
        <f t="shared" si="0"/>
        <v>236929007.45440003</v>
      </c>
      <c r="J19" s="106">
        <f t="shared" si="0"/>
        <v>244162877.67803204</v>
      </c>
      <c r="K19" s="106">
        <f t="shared" si="0"/>
        <v>251613764.00837302</v>
      </c>
      <c r="L19" s="106">
        <f t="shared" si="0"/>
        <v>259288176.92862421</v>
      </c>
      <c r="M19" s="107">
        <f t="shared" si="0"/>
        <v>267192822.23648292</v>
      </c>
    </row>
    <row r="20" spans="2:13">
      <c r="B20" s="36"/>
      <c r="C20" s="6"/>
      <c r="D20" s="69">
        <f t="shared" ref="D20:M20" si="1">D19/D15</f>
        <v>0.67933333333333334</v>
      </c>
      <c r="E20" s="69">
        <f t="shared" si="1"/>
        <v>0.67974110032362456</v>
      </c>
      <c r="F20" s="69">
        <f t="shared" si="1"/>
        <v>0.68013699060546073</v>
      </c>
      <c r="G20" s="69">
        <f t="shared" si="1"/>
        <v>0.68052135010238912</v>
      </c>
      <c r="H20" s="69">
        <f t="shared" si="1"/>
        <v>0.68089451466251372</v>
      </c>
      <c r="I20" s="69">
        <f t="shared" si="1"/>
        <v>0.68125681035195507</v>
      </c>
      <c r="J20" s="69">
        <f t="shared" si="1"/>
        <v>0.68160855373976215</v>
      </c>
      <c r="K20" s="69">
        <f t="shared" si="1"/>
        <v>0.68195005217452642</v>
      </c>
      <c r="L20" s="69">
        <f t="shared" si="1"/>
        <v>0.68228160405293825</v>
      </c>
      <c r="M20" s="70">
        <f t="shared" si="1"/>
        <v>0.68260349908052254</v>
      </c>
    </row>
    <row r="21" spans="2:13">
      <c r="B21" s="36" t="s">
        <v>70</v>
      </c>
      <c r="C21" s="58"/>
      <c r="D21" s="58">
        <f>-(Datos!$C$7+Datos!$C$8+Datos!$C$12)*12</f>
        <v>-69000000</v>
      </c>
      <c r="E21" s="58">
        <f>-(Datos!$C$7+Datos!$C$8+Datos!$C$12)*12</f>
        <v>-69000000</v>
      </c>
      <c r="F21" s="58">
        <f>-(Datos!$C$7+Datos!$C$8+Datos!$C$12)*12</f>
        <v>-69000000</v>
      </c>
      <c r="G21" s="58">
        <f>-(Datos!$C$7+Datos!$C$8+Datos!$C$12)*12</f>
        <v>-69000000</v>
      </c>
      <c r="H21" s="58">
        <f>-(Datos!$C$7+Datos!$C$8+Datos!$C$12)*12</f>
        <v>-69000000</v>
      </c>
      <c r="I21" s="58">
        <f>-(Datos!$C$7+Datos!$C$8+Datos!$C$12)*12</f>
        <v>-69000000</v>
      </c>
      <c r="J21" s="58">
        <f>-(Datos!$C$7+Datos!$C$8+Datos!$C$12)*12</f>
        <v>-69000000</v>
      </c>
      <c r="K21" s="58">
        <f>-(Datos!$C$7+Datos!$C$8+Datos!$C$12)*12</f>
        <v>-69000000</v>
      </c>
      <c r="L21" s="58">
        <f>-(Datos!$C$7+Datos!$C$8+Datos!$C$12)*12</f>
        <v>-69000000</v>
      </c>
      <c r="M21" s="59">
        <f>-(Datos!$C$7+Datos!$C$8+Datos!$C$12)*12</f>
        <v>-69000000</v>
      </c>
    </row>
    <row r="22" spans="2:13">
      <c r="B22" s="36" t="s">
        <v>69</v>
      </c>
      <c r="C22" s="58"/>
      <c r="D22" s="58">
        <f>-Datos!C11*12+Datos!C6*12</f>
        <v>-1200000</v>
      </c>
      <c r="E22" s="58">
        <f t="shared" ref="E22:M22" si="2">D22</f>
        <v>-1200000</v>
      </c>
      <c r="F22" s="58">
        <f t="shared" si="2"/>
        <v>-1200000</v>
      </c>
      <c r="G22" s="58">
        <f t="shared" si="2"/>
        <v>-1200000</v>
      </c>
      <c r="H22" s="58">
        <f t="shared" si="2"/>
        <v>-1200000</v>
      </c>
      <c r="I22" s="58">
        <f t="shared" si="2"/>
        <v>-1200000</v>
      </c>
      <c r="J22" s="58">
        <f t="shared" si="2"/>
        <v>-1200000</v>
      </c>
      <c r="K22" s="58">
        <f t="shared" si="2"/>
        <v>-1200000</v>
      </c>
      <c r="L22" s="58">
        <f t="shared" si="2"/>
        <v>-1200000</v>
      </c>
      <c r="M22" s="59">
        <f t="shared" si="2"/>
        <v>-1200000</v>
      </c>
    </row>
    <row r="23" spans="2:13">
      <c r="B23" s="36" t="s">
        <v>68</v>
      </c>
      <c r="C23" s="58"/>
      <c r="D23" s="58">
        <f>-(Datos!C4*12+Datos!C13+Datos!C5)</f>
        <v>-42450000</v>
      </c>
      <c r="E23" s="58">
        <f t="shared" ref="E23:M23" si="3">D23</f>
        <v>-42450000</v>
      </c>
      <c r="F23" s="58">
        <f t="shared" si="3"/>
        <v>-42450000</v>
      </c>
      <c r="G23" s="58">
        <f t="shared" si="3"/>
        <v>-42450000</v>
      </c>
      <c r="H23" s="58">
        <f t="shared" si="3"/>
        <v>-42450000</v>
      </c>
      <c r="I23" s="58">
        <f t="shared" si="3"/>
        <v>-42450000</v>
      </c>
      <c r="J23" s="58">
        <f t="shared" si="3"/>
        <v>-42450000</v>
      </c>
      <c r="K23" s="58">
        <f t="shared" si="3"/>
        <v>-42450000</v>
      </c>
      <c r="L23" s="58">
        <f t="shared" si="3"/>
        <v>-42450000</v>
      </c>
      <c r="M23" s="59">
        <f t="shared" si="3"/>
        <v>-42450000</v>
      </c>
    </row>
    <row r="24" spans="2:13">
      <c r="B24" s="36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2:13">
      <c r="B25" s="105" t="s">
        <v>67</v>
      </c>
      <c r="C25" s="106"/>
      <c r="D25" s="106">
        <f t="shared" ref="D25:M25" si="4">D19+SUM(D21:D23)</f>
        <v>91150000</v>
      </c>
      <c r="E25" s="106">
        <f t="shared" si="4"/>
        <v>97390000</v>
      </c>
      <c r="F25" s="106">
        <f t="shared" si="4"/>
        <v>103817200</v>
      </c>
      <c r="G25" s="106">
        <f t="shared" si="4"/>
        <v>110437216</v>
      </c>
      <c r="H25" s="106">
        <f t="shared" si="4"/>
        <v>117255832.48000002</v>
      </c>
      <c r="I25" s="106">
        <f t="shared" si="4"/>
        <v>124279007.45440003</v>
      </c>
      <c r="J25" s="106">
        <f t="shared" si="4"/>
        <v>131512877.67803204</v>
      </c>
      <c r="K25" s="106">
        <f t="shared" si="4"/>
        <v>138963764.00837302</v>
      </c>
      <c r="L25" s="106">
        <f t="shared" si="4"/>
        <v>146638176.92862421</v>
      </c>
      <c r="M25" s="107">
        <f t="shared" si="4"/>
        <v>154542822.23648292</v>
      </c>
    </row>
    <row r="26" spans="2:13">
      <c r="B26" s="36"/>
      <c r="C26" s="58"/>
      <c r="D26" s="69">
        <f t="shared" ref="D26:M26" si="5">D25/D15</f>
        <v>0.30383333333333334</v>
      </c>
      <c r="E26" s="69">
        <f t="shared" si="5"/>
        <v>0.31517799352750808</v>
      </c>
      <c r="F26" s="69">
        <f t="shared" si="5"/>
        <v>0.326192226725736</v>
      </c>
      <c r="G26" s="69">
        <f t="shared" si="5"/>
        <v>0.33688565701527767</v>
      </c>
      <c r="H26" s="69">
        <f t="shared" si="5"/>
        <v>0.34726762817017254</v>
      </c>
      <c r="I26" s="69">
        <f t="shared" si="5"/>
        <v>0.35734721181570156</v>
      </c>
      <c r="J26" s="69">
        <f t="shared" si="5"/>
        <v>0.36713321535505</v>
      </c>
      <c r="K26" s="69">
        <f t="shared" si="5"/>
        <v>0.37663418966509715</v>
      </c>
      <c r="L26" s="69">
        <f t="shared" si="5"/>
        <v>0.38585843656805546</v>
      </c>
      <c r="M26" s="70">
        <f t="shared" si="5"/>
        <v>0.39481401608549072</v>
      </c>
    </row>
    <row r="27" spans="2:13">
      <c r="B27" s="36" t="s">
        <v>63</v>
      </c>
      <c r="C27" s="58"/>
      <c r="D27" s="58">
        <f>-(Datos!G7-Datos!G9)/Datos!G8</f>
        <v>-1700000</v>
      </c>
      <c r="E27" s="58">
        <f t="shared" ref="E27:M27" si="6">D27</f>
        <v>-1700000</v>
      </c>
      <c r="F27" s="58">
        <f t="shared" si="6"/>
        <v>-1700000</v>
      </c>
      <c r="G27" s="58">
        <f t="shared" si="6"/>
        <v>-1700000</v>
      </c>
      <c r="H27" s="58">
        <f t="shared" si="6"/>
        <v>-1700000</v>
      </c>
      <c r="I27" s="58">
        <f t="shared" si="6"/>
        <v>-1700000</v>
      </c>
      <c r="J27" s="58">
        <f t="shared" si="6"/>
        <v>-1700000</v>
      </c>
      <c r="K27" s="58">
        <f t="shared" si="6"/>
        <v>-1700000</v>
      </c>
      <c r="L27" s="58">
        <f t="shared" si="6"/>
        <v>-1700000</v>
      </c>
      <c r="M27" s="59">
        <f t="shared" si="6"/>
        <v>-1700000</v>
      </c>
    </row>
    <row r="28" spans="2:13">
      <c r="B28" s="36" t="s">
        <v>119</v>
      </c>
      <c r="C28" s="58"/>
      <c r="D28" s="58">
        <f>-Datos!G14/10</f>
        <v>-2500000</v>
      </c>
      <c r="E28" s="58">
        <f t="shared" ref="E28:J28" si="7">D28</f>
        <v>-2500000</v>
      </c>
      <c r="F28" s="58">
        <f t="shared" si="7"/>
        <v>-2500000</v>
      </c>
      <c r="G28" s="58">
        <f t="shared" si="7"/>
        <v>-2500000</v>
      </c>
      <c r="H28" s="58">
        <f t="shared" si="7"/>
        <v>-2500000</v>
      </c>
      <c r="I28" s="58">
        <f t="shared" si="7"/>
        <v>-2500000</v>
      </c>
      <c r="J28" s="58">
        <f t="shared" si="7"/>
        <v>-2500000</v>
      </c>
      <c r="K28" s="58"/>
      <c r="L28" s="58"/>
      <c r="M28" s="59"/>
    </row>
    <row r="29" spans="2:13">
      <c r="B29" s="36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2:13">
      <c r="B30" s="99" t="s">
        <v>66</v>
      </c>
      <c r="C30" s="100"/>
      <c r="D30" s="100">
        <f t="shared" ref="D30:M30" si="8">D25+SUM(D27:D28)</f>
        <v>86950000</v>
      </c>
      <c r="E30" s="100">
        <f t="shared" si="8"/>
        <v>93190000</v>
      </c>
      <c r="F30" s="100">
        <f t="shared" si="8"/>
        <v>99617200</v>
      </c>
      <c r="G30" s="100">
        <f t="shared" si="8"/>
        <v>106237216</v>
      </c>
      <c r="H30" s="100">
        <f t="shared" si="8"/>
        <v>113055832.48000002</v>
      </c>
      <c r="I30" s="100">
        <f t="shared" si="8"/>
        <v>120079007.45440003</v>
      </c>
      <c r="J30" s="100">
        <f t="shared" si="8"/>
        <v>127312877.67803204</v>
      </c>
      <c r="K30" s="100">
        <f t="shared" si="8"/>
        <v>137263764.00837302</v>
      </c>
      <c r="L30" s="100">
        <f t="shared" si="8"/>
        <v>144938176.92862421</v>
      </c>
      <c r="M30" s="101">
        <f t="shared" si="8"/>
        <v>152842822.23648292</v>
      </c>
    </row>
    <row r="31" spans="2:13">
      <c r="B31" s="102" t="s">
        <v>65</v>
      </c>
      <c r="C31" s="103"/>
      <c r="D31" s="103">
        <f>-Datos!$G$19*'Valorización sin Ampliación'!D30</f>
        <v>-23476500</v>
      </c>
      <c r="E31" s="103">
        <f>-Datos!$G$19*'Valorización sin Ampliación'!E30</f>
        <v>-25161300</v>
      </c>
      <c r="F31" s="103">
        <f>-Datos!$G$19*'Valorización sin Ampliación'!F30</f>
        <v>-26896644</v>
      </c>
      <c r="G31" s="103">
        <f>-Datos!$G$19*'Valorización sin Ampliación'!G30</f>
        <v>-28684048.32</v>
      </c>
      <c r="H31" s="103">
        <f>-Datos!$G$19*'Valorización sin Ampliación'!H30</f>
        <v>-30525074.769600008</v>
      </c>
      <c r="I31" s="103">
        <f>-Datos!$G$19*'Valorización sin Ampliación'!I30</f>
        <v>-32421332.012688011</v>
      </c>
      <c r="J31" s="103">
        <f>-Datos!$G$19*'Valorización sin Ampliación'!J30</f>
        <v>-34374476.973068655</v>
      </c>
      <c r="K31" s="103">
        <f>-Datos!$G$19*'Valorización sin Ampliación'!K30</f>
        <v>-37061216.282260716</v>
      </c>
      <c r="L31" s="103">
        <f>-Datos!$G$19*'Valorización sin Ampliación'!L30</f>
        <v>-39133307.770728543</v>
      </c>
      <c r="M31" s="104">
        <f>-Datos!$G$19*'Valorización sin Ampliación'!M30</f>
        <v>-41267562.003850393</v>
      </c>
    </row>
    <row r="32" spans="2:13">
      <c r="B32" s="36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2:13">
      <c r="B33" s="7" t="s">
        <v>64</v>
      </c>
      <c r="C33" s="58"/>
      <c r="D33" s="58">
        <f t="shared" ref="D33:M33" si="9">SUM(D30:D31)</f>
        <v>63473500</v>
      </c>
      <c r="E33" s="58">
        <f t="shared" si="9"/>
        <v>68028700</v>
      </c>
      <c r="F33" s="58">
        <f t="shared" si="9"/>
        <v>72720556</v>
      </c>
      <c r="G33" s="58">
        <f t="shared" si="9"/>
        <v>77553167.680000007</v>
      </c>
      <c r="H33" s="58">
        <f t="shared" si="9"/>
        <v>82530757.710400015</v>
      </c>
      <c r="I33" s="58">
        <f t="shared" si="9"/>
        <v>87657675.441712022</v>
      </c>
      <c r="J33" s="58">
        <f t="shared" si="9"/>
        <v>92938400.704963386</v>
      </c>
      <c r="K33" s="58">
        <f t="shared" si="9"/>
        <v>100202547.72611231</v>
      </c>
      <c r="L33" s="58">
        <f t="shared" si="9"/>
        <v>105804869.15789567</v>
      </c>
      <c r="M33" s="59">
        <f t="shared" si="9"/>
        <v>111575260.23263252</v>
      </c>
    </row>
    <row r="34" spans="2:13">
      <c r="B34" s="36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</row>
    <row r="35" spans="2:13">
      <c r="B35" s="36" t="s">
        <v>63</v>
      </c>
      <c r="C35" s="58"/>
      <c r="D35" s="58">
        <f t="shared" ref="D35:M35" si="10">-D27</f>
        <v>1700000</v>
      </c>
      <c r="E35" s="58">
        <f t="shared" si="10"/>
        <v>1700000</v>
      </c>
      <c r="F35" s="58">
        <f t="shared" si="10"/>
        <v>1700000</v>
      </c>
      <c r="G35" s="58">
        <f t="shared" si="10"/>
        <v>1700000</v>
      </c>
      <c r="H35" s="58">
        <f t="shared" si="10"/>
        <v>1700000</v>
      </c>
      <c r="I35" s="58">
        <f t="shared" si="10"/>
        <v>1700000</v>
      </c>
      <c r="J35" s="58">
        <f t="shared" si="10"/>
        <v>1700000</v>
      </c>
      <c r="K35" s="58">
        <f t="shared" si="10"/>
        <v>1700000</v>
      </c>
      <c r="L35" s="58">
        <f t="shared" si="10"/>
        <v>1700000</v>
      </c>
      <c r="M35" s="59">
        <f t="shared" si="10"/>
        <v>1700000</v>
      </c>
    </row>
    <row r="36" spans="2:13">
      <c r="B36" s="36" t="s">
        <v>118</v>
      </c>
      <c r="C36" s="58"/>
      <c r="D36" s="58">
        <f t="shared" ref="D36:J36" si="11">-D28</f>
        <v>2500000</v>
      </c>
      <c r="E36" s="58">
        <f t="shared" si="11"/>
        <v>2500000</v>
      </c>
      <c r="F36" s="58">
        <f t="shared" si="11"/>
        <v>2500000</v>
      </c>
      <c r="G36" s="58">
        <f t="shared" si="11"/>
        <v>2500000</v>
      </c>
      <c r="H36" s="58">
        <f t="shared" si="11"/>
        <v>2500000</v>
      </c>
      <c r="I36" s="58">
        <f t="shared" si="11"/>
        <v>2500000</v>
      </c>
      <c r="J36" s="58">
        <f t="shared" si="11"/>
        <v>2500000</v>
      </c>
      <c r="K36" s="58"/>
      <c r="L36" s="58"/>
      <c r="M36" s="59"/>
    </row>
    <row r="37" spans="2:13">
      <c r="B37" s="36" t="s">
        <v>62</v>
      </c>
      <c r="C37" s="58">
        <f t="shared" ref="C37:M37" si="12">P16</f>
        <v>-46000000</v>
      </c>
      <c r="D37" s="58">
        <f t="shared" si="12"/>
        <v>-1380000</v>
      </c>
      <c r="E37" s="58">
        <f t="shared" si="12"/>
        <v>-1421400.0000000075</v>
      </c>
      <c r="F37" s="58">
        <f t="shared" si="12"/>
        <v>-1464042</v>
      </c>
      <c r="G37" s="58">
        <f t="shared" si="12"/>
        <v>-1507963.2599999979</v>
      </c>
      <c r="H37" s="58">
        <f t="shared" si="12"/>
        <v>-1553202.1578000039</v>
      </c>
      <c r="I37" s="58">
        <f t="shared" si="12"/>
        <v>-1599798.2225340009</v>
      </c>
      <c r="J37" s="58">
        <f t="shared" si="12"/>
        <v>-1647792.1692100242</v>
      </c>
      <c r="K37" s="58">
        <f t="shared" si="12"/>
        <v>-1697225.9342863187</v>
      </c>
      <c r="L37" s="58">
        <f t="shared" si="12"/>
        <v>-1748142.7123149037</v>
      </c>
      <c r="M37" s="59">
        <f t="shared" si="12"/>
        <v>60019566.456145257</v>
      </c>
    </row>
    <row r="38" spans="2:13">
      <c r="B38" s="36" t="s">
        <v>61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>
        <f>(M33+L37-J36)/(Datos!G20-Datos!G5)</f>
        <v>1192523528.0035291</v>
      </c>
    </row>
    <row r="39" spans="2:13" ht="7.3" customHeight="1">
      <c r="B39" s="3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2:13" ht="7.3" customHeight="1">
      <c r="B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</row>
    <row r="41" spans="2:13">
      <c r="B41" s="7" t="s">
        <v>60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2:13">
      <c r="B42" s="36" t="s">
        <v>59</v>
      </c>
      <c r="C42" s="58">
        <f>-FV(Datos!G20,2,'Valorización sin Ampliación'!D28)</f>
        <v>-5300000.0000000037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2:13">
      <c r="B43" s="36" t="s">
        <v>58</v>
      </c>
      <c r="C43" s="58">
        <f>-Datos!G7</f>
        <v>-20000000</v>
      </c>
      <c r="D43" s="58"/>
      <c r="E43" s="58"/>
      <c r="F43" s="58"/>
      <c r="G43" s="58"/>
      <c r="H43" s="58"/>
      <c r="I43" s="58"/>
      <c r="J43" s="58"/>
      <c r="K43" s="58"/>
      <c r="L43" s="58"/>
      <c r="M43" s="59"/>
    </row>
    <row r="44" spans="2:13">
      <c r="B44" s="36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</row>
    <row r="45" spans="2:13" ht="12.9" thickBot="1">
      <c r="B45" s="71" t="s">
        <v>57</v>
      </c>
      <c r="C45" s="72">
        <f>SUM(C37:C43)</f>
        <v>-71300000</v>
      </c>
      <c r="D45" s="72">
        <f t="shared" ref="D45:M45" si="13">SUM(D33:D38)</f>
        <v>66293500</v>
      </c>
      <c r="E45" s="72">
        <f t="shared" si="13"/>
        <v>70807300</v>
      </c>
      <c r="F45" s="72">
        <f t="shared" si="13"/>
        <v>75456514</v>
      </c>
      <c r="G45" s="72">
        <f t="shared" si="13"/>
        <v>80245204.420000017</v>
      </c>
      <c r="H45" s="72">
        <f t="shared" si="13"/>
        <v>85177555.552600011</v>
      </c>
      <c r="I45" s="72">
        <f t="shared" si="13"/>
        <v>90257877.219178021</v>
      </c>
      <c r="J45" s="72">
        <f t="shared" si="13"/>
        <v>95490608.535753369</v>
      </c>
      <c r="K45" s="72">
        <f t="shared" si="13"/>
        <v>100205321.79182598</v>
      </c>
      <c r="L45" s="72">
        <f t="shared" si="13"/>
        <v>105756726.44558077</v>
      </c>
      <c r="M45" s="73">
        <f t="shared" si="13"/>
        <v>1365818354.6923068</v>
      </c>
    </row>
    <row r="46" spans="2:13" ht="12.9" thickBot="1">
      <c r="B46" s="1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2:13">
      <c r="B47" s="31" t="s">
        <v>56</v>
      </c>
      <c r="C47" s="30">
        <f>C45+NPV(Datos!G20,'Valorización sin Ampliación'!D45:M45)</f>
        <v>804663230.13977766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2:13" ht="12.9" thickBot="1">
      <c r="B48" s="4" t="s">
        <v>55</v>
      </c>
      <c r="C48" s="29">
        <f>IRR(C45:M45)</f>
        <v>1.0092951781579047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2:13">
      <c r="B49" s="78"/>
      <c r="C49" s="79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2:13" ht="12.9" thickBot="1">
      <c r="B50" s="78"/>
      <c r="C50" s="79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2:13" ht="12.75" customHeight="1">
      <c r="B51" s="83" t="s">
        <v>100</v>
      </c>
      <c r="C51" s="84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2:13" ht="13.5" customHeight="1" thickBot="1">
      <c r="B52" s="85"/>
      <c r="C52" s="86"/>
      <c r="D52" s="28" t="s">
        <v>117</v>
      </c>
      <c r="E52" s="28"/>
      <c r="F52" s="28"/>
      <c r="G52" s="28"/>
      <c r="H52" s="28"/>
      <c r="I52" s="28"/>
      <c r="J52" s="28"/>
      <c r="K52" s="28"/>
      <c r="L52" s="28"/>
      <c r="M52" s="28"/>
    </row>
    <row r="53" spans="2:13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2:13" ht="12.9" thickBot="1">
      <c r="C54" s="28"/>
      <c r="D54" s="27">
        <v>1</v>
      </c>
      <c r="E54" s="27">
        <v>2</v>
      </c>
      <c r="F54" s="27">
        <v>3</v>
      </c>
      <c r="G54" s="27">
        <v>4</v>
      </c>
      <c r="H54" s="27">
        <v>5</v>
      </c>
      <c r="I54" s="27">
        <v>6</v>
      </c>
      <c r="J54" s="27">
        <v>7</v>
      </c>
      <c r="K54" s="27">
        <v>8</v>
      </c>
      <c r="L54" s="27">
        <v>9</v>
      </c>
      <c r="M54" s="27">
        <v>10</v>
      </c>
    </row>
    <row r="55" spans="2:13" ht="12.9" thickBot="1">
      <c r="B55" s="48"/>
      <c r="C55" s="108" t="s">
        <v>54</v>
      </c>
      <c r="D55" s="108" t="s">
        <v>53</v>
      </c>
      <c r="E55" s="108" t="s">
        <v>52</v>
      </c>
      <c r="F55" s="108" t="s">
        <v>51</v>
      </c>
      <c r="G55" s="108" t="s">
        <v>50</v>
      </c>
      <c r="H55" s="108" t="s">
        <v>49</v>
      </c>
      <c r="I55" s="108" t="s">
        <v>48</v>
      </c>
      <c r="J55" s="108" t="s">
        <v>47</v>
      </c>
      <c r="K55" s="108" t="s">
        <v>46</v>
      </c>
      <c r="L55" s="108" t="s">
        <v>45</v>
      </c>
      <c r="M55" s="109" t="s">
        <v>44</v>
      </c>
    </row>
    <row r="56" spans="2:13">
      <c r="B56" s="36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</row>
    <row r="57" spans="2:13">
      <c r="B57" s="36" t="s">
        <v>43</v>
      </c>
      <c r="C57" s="58"/>
      <c r="D57" s="58">
        <f>IPMT(Datos!$G$12,'Valorización sin Ampliación'!D54,Datos!$G$13,Datos!$G$11,)</f>
        <v>-1200000</v>
      </c>
      <c r="E57" s="58">
        <f>IPMT(Datos!$G$12,'Valorización sin Ampliación'!E54,Datos!$G$13,Datos!$G$11,)</f>
        <v>-1117164.6135635094</v>
      </c>
      <c r="F57" s="58">
        <f>IPMT(Datos!$G$12,'Valorización sin Ampliación'!F54,Datos!$G$13,Datos!$G$11,)</f>
        <v>-1027702.3962120997</v>
      </c>
      <c r="G57" s="58">
        <f>IPMT(Datos!$G$12,'Valorización sin Ampliación'!G54,Datos!$G$13,Datos!$G$11,)</f>
        <v>-931083.20147257706</v>
      </c>
      <c r="H57" s="58">
        <f>IPMT(Datos!$G$12,'Valorización sin Ampliación'!H54,Datos!$G$13,Datos!$G$11,)</f>
        <v>-826734.47115389269</v>
      </c>
      <c r="I57" s="58">
        <f>IPMT(Datos!$G$12,'Valorización sin Ampliación'!I54,Datos!$G$13,Datos!$G$11,)</f>
        <v>-714037.84240971378</v>
      </c>
      <c r="J57" s="58">
        <f>IPMT(Datos!$G$12,'Valorización sin Ampliación'!J54,Datos!$G$13,Datos!$G$11,)</f>
        <v>-592325.48336600023</v>
      </c>
      <c r="K57" s="58">
        <f>IPMT(Datos!$G$12,'Valorización sin Ampliación'!K54,Datos!$G$13,Datos!$G$11,)</f>
        <v>-460876.13559878984</v>
      </c>
      <c r="L57" s="58">
        <f>IPMT(Datos!$G$12,'Valorización sin Ampliación'!L54,Datos!$G$13,Datos!$G$11,)</f>
        <v>-318910.84001020255</v>
      </c>
      <c r="M57" s="59">
        <f>IPMT(Datos!$G$12,'Valorización sin Ampliación'!M54,Datos!$G$13,Datos!$G$11,)</f>
        <v>-165588.32077452823</v>
      </c>
    </row>
    <row r="58" spans="2:13">
      <c r="B58" s="36" t="s">
        <v>42</v>
      </c>
      <c r="C58" s="58"/>
      <c r="D58" s="58">
        <f>-Datos!$G$19*'Valorización sin Ampliación'!D57</f>
        <v>324000</v>
      </c>
      <c r="E58" s="58">
        <f>-Datos!$G$19*'Valorización sin Ampliación'!E57</f>
        <v>301634.44566214754</v>
      </c>
      <c r="F58" s="58">
        <f>-Datos!$G$19*'Valorización sin Ampliación'!F57</f>
        <v>277479.64697726694</v>
      </c>
      <c r="G58" s="58">
        <f>-Datos!$G$19*'Valorización sin Ampliación'!G57</f>
        <v>251392.46439759582</v>
      </c>
      <c r="H58" s="58">
        <f>-Datos!$G$19*'Valorización sin Ampliación'!H57</f>
        <v>223218.30721155103</v>
      </c>
      <c r="I58" s="58">
        <f>-Datos!$G$19*'Valorización sin Ampliación'!I57</f>
        <v>192790.21745062273</v>
      </c>
      <c r="J58" s="58">
        <f>-Datos!$G$19*'Valorización sin Ampliación'!J57</f>
        <v>159927.88050882006</v>
      </c>
      <c r="K58" s="58">
        <f>-Datos!$G$19*'Valorización sin Ampliación'!K57</f>
        <v>124436.55661167327</v>
      </c>
      <c r="L58" s="58">
        <f>-Datos!$G$19*'Valorización sin Ampliación'!L57</f>
        <v>86105.926802754693</v>
      </c>
      <c r="M58" s="59">
        <f>-Datos!$G$19*'Valorización sin Ampliación'!M57</f>
        <v>44708.846609122622</v>
      </c>
    </row>
    <row r="59" spans="2:13">
      <c r="B59" s="36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</row>
    <row r="60" spans="2:13">
      <c r="B60" s="36" t="s">
        <v>41</v>
      </c>
      <c r="C60" s="58"/>
      <c r="D60" s="58">
        <f t="shared" ref="D60:M60" si="14">SUM(D57:D58)</f>
        <v>-876000</v>
      </c>
      <c r="E60" s="58">
        <f t="shared" si="14"/>
        <v>-815530.16790136183</v>
      </c>
      <c r="F60" s="58">
        <f t="shared" si="14"/>
        <v>-750222.74923483282</v>
      </c>
      <c r="G60" s="58">
        <f t="shared" si="14"/>
        <v>-679690.73707498121</v>
      </c>
      <c r="H60" s="58">
        <f t="shared" si="14"/>
        <v>-603516.16394234169</v>
      </c>
      <c r="I60" s="58">
        <f t="shared" si="14"/>
        <v>-521247.62495909107</v>
      </c>
      <c r="J60" s="58">
        <f t="shared" si="14"/>
        <v>-432397.60285718017</v>
      </c>
      <c r="K60" s="58">
        <f t="shared" si="14"/>
        <v>-336439.57898711658</v>
      </c>
      <c r="L60" s="58">
        <f t="shared" si="14"/>
        <v>-232804.91320744785</v>
      </c>
      <c r="M60" s="59">
        <f t="shared" si="14"/>
        <v>-120879.47416540561</v>
      </c>
    </row>
    <row r="61" spans="2:13">
      <c r="B61" s="36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</row>
    <row r="62" spans="2:13">
      <c r="B62" s="36" t="s">
        <v>40</v>
      </c>
      <c r="C62" s="58"/>
      <c r="D62" s="58">
        <f>PPMT(Datos!$G$12,'Valorización sin Ampliación'!D54,Datos!$G$13,Datos!$G$11,)</f>
        <v>-1035442.3304561313</v>
      </c>
      <c r="E62" s="58">
        <f>PPMT(Datos!$G$12,'Valorización sin Ampliación'!E54,Datos!$G$13,Datos!$G$11,)</f>
        <v>-1118277.7168926219</v>
      </c>
      <c r="F62" s="58">
        <f>PPMT(Datos!$G$12,'Valorización sin Ampliación'!F54,Datos!$G$13,Datos!$G$11,)</f>
        <v>-1207739.9342440316</v>
      </c>
      <c r="G62" s="58">
        <f>PPMT(Datos!$G$12,'Valorización sin Ampliación'!G54,Datos!$G$13,Datos!$G$11,)</f>
        <v>-1304359.1289835542</v>
      </c>
      <c r="H62" s="58">
        <f>PPMT(Datos!$G$12,'Valorización sin Ampliación'!H54,Datos!$G$13,Datos!$G$11,)</f>
        <v>-1408707.8593022386</v>
      </c>
      <c r="I62" s="58">
        <f>PPMT(Datos!$G$12,'Valorización sin Ampliación'!I54,Datos!$G$13,Datos!$G$11,)</f>
        <v>-1521404.4880464172</v>
      </c>
      <c r="J62" s="58">
        <f>PPMT(Datos!$G$12,'Valorización sin Ampliación'!J54,Datos!$G$13,Datos!$G$11,)</f>
        <v>-1643116.8470901307</v>
      </c>
      <c r="K62" s="58">
        <f>PPMT(Datos!$G$12,'Valorización sin Ampliación'!K54,Datos!$G$13,Datos!$G$11,)</f>
        <v>-1774566.1948573415</v>
      </c>
      <c r="L62" s="58">
        <f>PPMT(Datos!$G$12,'Valorización sin Ampliación'!L54,Datos!$G$13,Datos!$G$11,)</f>
        <v>-1916531.4904459286</v>
      </c>
      <c r="M62" s="59">
        <f>PPMT(Datos!$G$12,'Valorización sin Ampliación'!M54,Datos!$G$13,Datos!$G$11,)</f>
        <v>-2069854.0096816032</v>
      </c>
    </row>
    <row r="63" spans="2:13">
      <c r="B63" s="36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9"/>
    </row>
    <row r="64" spans="2:13">
      <c r="B64" s="36" t="s">
        <v>114</v>
      </c>
      <c r="C64" s="58">
        <f>Datos!G11</f>
        <v>15000000</v>
      </c>
      <c r="D64" s="58"/>
      <c r="E64" s="58"/>
      <c r="F64" s="58"/>
      <c r="G64" s="58"/>
      <c r="H64" s="58"/>
      <c r="I64" s="58"/>
      <c r="J64" s="58"/>
      <c r="K64" s="58"/>
      <c r="L64" s="58"/>
      <c r="M64" s="59"/>
    </row>
    <row r="65" spans="2:13">
      <c r="B65" s="36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</row>
    <row r="66" spans="2:13" ht="12.9" thickBot="1">
      <c r="B66" s="74" t="s">
        <v>39</v>
      </c>
      <c r="C66" s="75">
        <f>C64</f>
        <v>15000000</v>
      </c>
      <c r="D66" s="75">
        <f t="shared" ref="D66:M66" si="15">SUM(D60:D62)</f>
        <v>-1911442.3304561311</v>
      </c>
      <c r="E66" s="75">
        <f t="shared" si="15"/>
        <v>-1933807.8847939838</v>
      </c>
      <c r="F66" s="75">
        <f t="shared" si="15"/>
        <v>-1957962.6834788644</v>
      </c>
      <c r="G66" s="75">
        <f t="shared" si="15"/>
        <v>-1984049.8660585354</v>
      </c>
      <c r="H66" s="75">
        <f t="shared" si="15"/>
        <v>-2012224.0232445803</v>
      </c>
      <c r="I66" s="75">
        <f t="shared" si="15"/>
        <v>-2042652.1130055082</v>
      </c>
      <c r="J66" s="75">
        <f t="shared" si="15"/>
        <v>-2075514.4499473108</v>
      </c>
      <c r="K66" s="75">
        <f t="shared" si="15"/>
        <v>-2111005.7738444582</v>
      </c>
      <c r="L66" s="75">
        <f t="shared" si="15"/>
        <v>-2149336.4036533767</v>
      </c>
      <c r="M66" s="76">
        <f t="shared" si="15"/>
        <v>-2190733.483847009</v>
      </c>
    </row>
    <row r="67" spans="2:13" ht="12.9" thickBo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2.9" thickBot="1">
      <c r="B68" s="25" t="s">
        <v>38</v>
      </c>
      <c r="C68" s="24">
        <f>C66+NPV(Datos!G12,'Valorización sin Ampliación'!D66:M66)</f>
        <v>1461394.1738596763</v>
      </c>
      <c r="D68" s="66"/>
      <c r="E68" s="11"/>
      <c r="F68" s="11"/>
      <c r="G68" s="11"/>
      <c r="H68" s="11"/>
      <c r="I68" s="11"/>
      <c r="J68" s="11"/>
      <c r="K68" s="11"/>
      <c r="L68" s="11"/>
      <c r="M68" s="11"/>
    </row>
    <row r="69" spans="2:13">
      <c r="C69" s="11"/>
      <c r="D69" s="66"/>
      <c r="E69" s="11"/>
      <c r="F69" s="11"/>
      <c r="G69" s="11"/>
      <c r="H69" s="11"/>
      <c r="I69" s="11"/>
      <c r="J69" s="11"/>
      <c r="K69" s="11"/>
      <c r="L69" s="11"/>
      <c r="M69" s="11"/>
    </row>
    <row r="70" spans="2:13">
      <c r="C70" s="77"/>
      <c r="D70" s="11"/>
    </row>
    <row r="71" spans="2:13">
      <c r="C71" s="23"/>
    </row>
    <row r="72" spans="2:13" ht="12.9" thickBot="1"/>
    <row r="73" spans="2:13" ht="12.9" thickBot="1">
      <c r="B73" s="22" t="s">
        <v>37</v>
      </c>
      <c r="C73" s="21">
        <f>C47+C68</f>
        <v>806124624.31363738</v>
      </c>
    </row>
  </sheetData>
  <mergeCells count="2">
    <mergeCell ref="B51:C52"/>
    <mergeCell ref="B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F880-3764-46CA-9958-E1F0C92A6C61}">
  <dimension ref="B1:AA59"/>
  <sheetViews>
    <sheetView tabSelected="1" topLeftCell="A17" workbookViewId="0">
      <selection activeCell="E34" sqref="E34"/>
    </sheetView>
  </sheetViews>
  <sheetFormatPr baseColWidth="10" defaultColWidth="10.69140625" defaultRowHeight="12.9"/>
  <cols>
    <col min="1" max="1" width="10.69140625" style="46"/>
    <col min="2" max="2" width="43.84375" style="46" bestFit="1" customWidth="1"/>
    <col min="3" max="3" width="15.84375" style="46" bestFit="1" customWidth="1"/>
    <col min="4" max="9" width="14.84375" style="46" bestFit="1" customWidth="1"/>
    <col min="10" max="10" width="13.3046875" style="46" bestFit="1" customWidth="1"/>
    <col min="11" max="12" width="14.84375" style="46" bestFit="1" customWidth="1"/>
    <col min="13" max="13" width="14.69140625" style="46" bestFit="1" customWidth="1"/>
    <col min="14" max="15" width="9.3046875" style="46" customWidth="1"/>
    <col min="16" max="16" width="13.15234375" style="46" bestFit="1" customWidth="1"/>
    <col min="17" max="26" width="15.84375" style="46" bestFit="1" customWidth="1"/>
    <col min="27" max="27" width="14.69140625" style="46" bestFit="1" customWidth="1"/>
    <col min="28" max="252" width="9.3046875" style="46" customWidth="1"/>
    <col min="253" max="16384" width="10.69140625" style="46"/>
  </cols>
  <sheetData>
    <row r="1" spans="2:27" ht="13.3" thickBot="1"/>
    <row r="2" spans="2:27">
      <c r="B2" s="40" t="s">
        <v>12</v>
      </c>
      <c r="C2" s="39"/>
      <c r="D2" s="39" t="s">
        <v>53</v>
      </c>
      <c r="E2" s="39" t="s">
        <v>52</v>
      </c>
      <c r="F2" s="39" t="s">
        <v>51</v>
      </c>
      <c r="G2" s="39" t="s">
        <v>50</v>
      </c>
      <c r="H2" s="39" t="s">
        <v>49</v>
      </c>
      <c r="I2" s="39" t="s">
        <v>48</v>
      </c>
      <c r="J2" s="39" t="s">
        <v>47</v>
      </c>
      <c r="K2" s="39" t="s">
        <v>46</v>
      </c>
      <c r="L2" s="39" t="s">
        <v>45</v>
      </c>
      <c r="M2" s="38" t="s">
        <v>44</v>
      </c>
    </row>
    <row r="3" spans="2:27">
      <c r="B3" s="37"/>
      <c r="C3" s="9"/>
      <c r="D3" s="9"/>
      <c r="E3" s="9"/>
      <c r="F3" s="9"/>
      <c r="G3" s="9"/>
      <c r="H3" s="9"/>
      <c r="I3" s="9"/>
      <c r="J3" s="9"/>
      <c r="K3" s="9"/>
      <c r="L3" s="9"/>
      <c r="M3" s="8"/>
    </row>
    <row r="4" spans="2:27" ht="13.3" thickBot="1">
      <c r="B4" s="45" t="s">
        <v>77</v>
      </c>
      <c r="C4" s="44"/>
      <c r="D4" s="56">
        <f>'Valorización sin Ampliación'!D9</f>
        <v>1000</v>
      </c>
      <c r="E4" s="56">
        <f>'Valorización sin Ampliación'!E9</f>
        <v>1030</v>
      </c>
      <c r="F4" s="56">
        <f>'Valorización sin Ampliación'!F9</f>
        <v>1060.9000000000001</v>
      </c>
      <c r="G4" s="56">
        <f>'Valorización sin Ampliación'!G9</f>
        <v>1092.7270000000001</v>
      </c>
      <c r="H4" s="56">
        <f>'Valorización sin Ampliación'!H9</f>
        <v>1125.50881</v>
      </c>
      <c r="I4" s="56">
        <f>'Valorización sin Ampliación'!I9</f>
        <v>1159.2740743000002</v>
      </c>
      <c r="J4" s="56">
        <f>'Valorización sin Ampliación'!J9</f>
        <v>1194.0522965290002</v>
      </c>
      <c r="K4" s="56">
        <f>'Valorización sin Ampliación'!K9</f>
        <v>1229.8738654248702</v>
      </c>
      <c r="L4" s="56">
        <f>'Valorización sin Ampliación'!L9</f>
        <v>1266.7700813876163</v>
      </c>
      <c r="M4" s="65">
        <f>'Valorización sin Ampliación'!M9</f>
        <v>1304.7731838292448</v>
      </c>
    </row>
    <row r="7" spans="2:27" ht="13.3" thickBot="1"/>
    <row r="8" spans="2:27" ht="20.149999999999999" thickBot="1">
      <c r="B8" s="93" t="s">
        <v>99</v>
      </c>
      <c r="C8" s="94"/>
    </row>
    <row r="9" spans="2:27" ht="20.149999999999999" thickBot="1">
      <c r="B9" s="53"/>
      <c r="C9" s="52"/>
    </row>
    <row r="10" spans="2:27" s="50" customFormat="1">
      <c r="B10" s="40" t="s">
        <v>90</v>
      </c>
      <c r="C10" s="110" t="s">
        <v>54</v>
      </c>
      <c r="D10" s="110" t="s">
        <v>53</v>
      </c>
      <c r="E10" s="110" t="s">
        <v>52</v>
      </c>
      <c r="F10" s="110" t="s">
        <v>51</v>
      </c>
      <c r="G10" s="110" t="s">
        <v>50</v>
      </c>
      <c r="H10" s="110" t="s">
        <v>49</v>
      </c>
      <c r="I10" s="110" t="s">
        <v>48</v>
      </c>
      <c r="J10" s="110" t="s">
        <v>47</v>
      </c>
      <c r="K10" s="110" t="s">
        <v>46</v>
      </c>
      <c r="L10" s="110" t="s">
        <v>45</v>
      </c>
      <c r="M10" s="111" t="s">
        <v>44</v>
      </c>
      <c r="P10" s="40"/>
      <c r="Q10" s="39" t="s">
        <v>54</v>
      </c>
      <c r="R10" s="39" t="s">
        <v>53</v>
      </c>
      <c r="S10" s="39" t="s">
        <v>52</v>
      </c>
      <c r="T10" s="39" t="s">
        <v>51</v>
      </c>
      <c r="U10" s="39" t="s">
        <v>50</v>
      </c>
      <c r="V10" s="39" t="s">
        <v>49</v>
      </c>
      <c r="W10" s="39" t="s">
        <v>48</v>
      </c>
      <c r="X10" s="39" t="s">
        <v>47</v>
      </c>
      <c r="Y10" s="39" t="s">
        <v>46</v>
      </c>
      <c r="Z10" s="39" t="s">
        <v>45</v>
      </c>
      <c r="AA10" s="38" t="s">
        <v>44</v>
      </c>
    </row>
    <row r="11" spans="2:27" s="55" customFormat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P11" s="37"/>
      <c r="Q11" s="9"/>
      <c r="R11" s="9"/>
      <c r="S11" s="9"/>
      <c r="T11" s="9"/>
      <c r="U11" s="9"/>
      <c r="V11" s="9"/>
      <c r="W11" s="9"/>
      <c r="X11" s="9"/>
      <c r="Y11" s="9"/>
      <c r="Z11" s="9"/>
      <c r="AA11" s="8"/>
    </row>
    <row r="12" spans="2:27" s="49" customForma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  <c r="P12" s="36" t="s">
        <v>75</v>
      </c>
      <c r="Q12" s="35">
        <f t="shared" ref="Q12:AA12" si="0">-(D13+D14+5000*D4)/2</f>
        <v>38500000</v>
      </c>
      <c r="R12" s="35">
        <f t="shared" si="0"/>
        <v>39655000</v>
      </c>
      <c r="S12" s="35">
        <f t="shared" si="0"/>
        <v>40844650</v>
      </c>
      <c r="T12" s="35">
        <f t="shared" si="0"/>
        <v>42069989.5</v>
      </c>
      <c r="U12" s="35">
        <f t="shared" si="0"/>
        <v>43332089.185000002</v>
      </c>
      <c r="V12" s="35">
        <f t="shared" si="0"/>
        <v>44632051.860550009</v>
      </c>
      <c r="W12" s="35">
        <f t="shared" si="0"/>
        <v>45971013.416366503</v>
      </c>
      <c r="X12" s="35">
        <f t="shared" si="0"/>
        <v>47350143.818857506</v>
      </c>
      <c r="Y12" s="35">
        <f t="shared" si="0"/>
        <v>48770648.133423232</v>
      </c>
      <c r="Z12" s="35">
        <f t="shared" si="0"/>
        <v>50233767.577425919</v>
      </c>
      <c r="AA12" s="64">
        <f t="shared" si="0"/>
        <v>0</v>
      </c>
    </row>
    <row r="13" spans="2:27" ht="13.3" thickBot="1">
      <c r="B13" s="57" t="s">
        <v>98</v>
      </c>
      <c r="C13" s="58"/>
      <c r="D13" s="58">
        <f>-Datos!$G$17*D4</f>
        <v>-42000000</v>
      </c>
      <c r="E13" s="58">
        <f>-Datos!$G$17*E4</f>
        <v>-43260000</v>
      </c>
      <c r="F13" s="58">
        <f>-Datos!$G$17*F4</f>
        <v>-44557800.000000007</v>
      </c>
      <c r="G13" s="58">
        <f>-Datos!$G$17*G4</f>
        <v>-45894534.000000007</v>
      </c>
      <c r="H13" s="58">
        <f>-Datos!$G$17*H4</f>
        <v>-47271370.020000003</v>
      </c>
      <c r="I13" s="58">
        <f>-Datos!$G$17*I4</f>
        <v>-48689511.120600007</v>
      </c>
      <c r="J13" s="58">
        <f>-Datos!$G$17*J4</f>
        <v>-50150196.454218008</v>
      </c>
      <c r="K13" s="58">
        <f>-Datos!$G$17*K4</f>
        <v>-51654702.347844549</v>
      </c>
      <c r="L13" s="58">
        <f>-Datos!$G$17*L4</f>
        <v>-53204343.418279886</v>
      </c>
      <c r="M13" s="59">
        <f>-Datos!$G$17*M4</f>
        <v>-54800473.72082828</v>
      </c>
      <c r="P13" s="34" t="s">
        <v>73</v>
      </c>
      <c r="Q13" s="33">
        <f>-Q12</f>
        <v>-38500000</v>
      </c>
      <c r="R13" s="33">
        <f>-R12-Q13</f>
        <v>-1155000</v>
      </c>
      <c r="S13" s="33">
        <f>-S12-SUM(Q13:R13)</f>
        <v>-1189650</v>
      </c>
      <c r="T13" s="33">
        <f>-T12-SUM(Q13:S13)</f>
        <v>-1225339.5</v>
      </c>
      <c r="U13" s="33">
        <f>-U12-SUM(Q13:T13)</f>
        <v>-1262099.6850000024</v>
      </c>
      <c r="V13" s="33">
        <f>-V12-SUM(Q13:U13)</f>
        <v>-1299962.6755500063</v>
      </c>
      <c r="W13" s="33">
        <f>-W12-SUM(Q13:V13)</f>
        <v>-1338961.5558164939</v>
      </c>
      <c r="X13" s="33">
        <f>-X12-SUM(Q13:W13)</f>
        <v>-1379130.4024910033</v>
      </c>
      <c r="Y13" s="33">
        <f>-Y12-SUM(Q13:X13)</f>
        <v>-1420504.3145657256</v>
      </c>
      <c r="Z13" s="33">
        <f>-Z12-SUM(Q13:Y13)</f>
        <v>-1463119.4440026879</v>
      </c>
      <c r="AA13" s="32">
        <f>-SUM(Q13:Z13)</f>
        <v>50233767.577425919</v>
      </c>
    </row>
    <row r="14" spans="2:27">
      <c r="B14" s="57" t="s">
        <v>97</v>
      </c>
      <c r="C14" s="58"/>
      <c r="D14" s="58">
        <f>-'Análisis de alternativas'!D4*Datos!$K$8</f>
        <v>-40000000</v>
      </c>
      <c r="E14" s="58">
        <f>-'Análisis de alternativas'!E4*Datos!$K$8</f>
        <v>-41200000</v>
      </c>
      <c r="F14" s="58">
        <f>-'Análisis de alternativas'!F4*Datos!$K$8</f>
        <v>-42436000</v>
      </c>
      <c r="G14" s="58">
        <f>-'Análisis de alternativas'!G4*Datos!$K$8</f>
        <v>-43709080</v>
      </c>
      <c r="H14" s="58">
        <f>-'Análisis de alternativas'!H4*Datos!$K$8</f>
        <v>-45020352.399999999</v>
      </c>
      <c r="I14" s="58">
        <f>-'Análisis de alternativas'!I4*Datos!$K$8</f>
        <v>-46370962.97200001</v>
      </c>
      <c r="J14" s="58">
        <f>-'Análisis de alternativas'!J4*Datos!$K$8</f>
        <v>-47762091.86116001</v>
      </c>
      <c r="K14" s="58">
        <f>-'Análisis de alternativas'!K4*Datos!$K$8</f>
        <v>-49194954.616994813</v>
      </c>
      <c r="L14" s="58">
        <f>-'Análisis de alternativas'!L4*Datos!$K$8</f>
        <v>-50670803.255504653</v>
      </c>
      <c r="M14" s="59">
        <f>-'Análisis de alternativas'!M4*Datos!$K$8</f>
        <v>-52190927.353169791</v>
      </c>
    </row>
    <row r="15" spans="2:27">
      <c r="B15" s="57" t="s">
        <v>95</v>
      </c>
      <c r="C15" s="58"/>
      <c r="D15" s="58">
        <f>'Valorización sin Ampliación'!D28</f>
        <v>-2500000</v>
      </c>
      <c r="E15" s="58">
        <f>'Valorización sin Ampliación'!E28</f>
        <v>-2500000</v>
      </c>
      <c r="F15" s="58">
        <f>'Valorización sin Ampliación'!F28</f>
        <v>-2500000</v>
      </c>
      <c r="G15" s="58">
        <f>'Valorización sin Ampliación'!G28</f>
        <v>-2500000</v>
      </c>
      <c r="H15" s="58">
        <f>'Valorización sin Ampliación'!H28</f>
        <v>-2500000</v>
      </c>
      <c r="I15" s="58">
        <f>'Valorización sin Ampliación'!I28</f>
        <v>-2500000</v>
      </c>
      <c r="J15" s="58">
        <f>'Valorización sin Ampliación'!J28</f>
        <v>-2500000</v>
      </c>
      <c r="K15" s="58">
        <f>'Valorización sin Ampliación'!K28</f>
        <v>0</v>
      </c>
      <c r="L15" s="58">
        <f>'Valorización sin Ampliación'!L28</f>
        <v>0</v>
      </c>
      <c r="M15" s="59">
        <f>'Valorización sin Ampliación'!M28</f>
        <v>0</v>
      </c>
    </row>
    <row r="16" spans="2:27">
      <c r="B16" s="57" t="s">
        <v>94</v>
      </c>
      <c r="C16" s="58"/>
      <c r="D16" s="58">
        <f>-(Datos!K5-Datos!K7)/Datos!K6</f>
        <v>-3000000</v>
      </c>
      <c r="E16" s="58">
        <f t="shared" ref="E16:M16" si="1">D16</f>
        <v>-3000000</v>
      </c>
      <c r="F16" s="58">
        <f t="shared" si="1"/>
        <v>-3000000</v>
      </c>
      <c r="G16" s="58">
        <f t="shared" si="1"/>
        <v>-3000000</v>
      </c>
      <c r="H16" s="58">
        <f t="shared" si="1"/>
        <v>-3000000</v>
      </c>
      <c r="I16" s="58">
        <f t="shared" si="1"/>
        <v>-3000000</v>
      </c>
      <c r="J16" s="58">
        <f t="shared" si="1"/>
        <v>-3000000</v>
      </c>
      <c r="K16" s="58">
        <f t="shared" si="1"/>
        <v>-3000000</v>
      </c>
      <c r="L16" s="58">
        <f t="shared" si="1"/>
        <v>-3000000</v>
      </c>
      <c r="M16" s="59">
        <f t="shared" si="1"/>
        <v>-3000000</v>
      </c>
    </row>
    <row r="17" spans="2:13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2:13">
      <c r="B18" s="114" t="s">
        <v>85</v>
      </c>
      <c r="C18" s="100"/>
      <c r="D18" s="100">
        <f t="shared" ref="D18:M18" si="2">SUM(D13:D16)</f>
        <v>-87500000</v>
      </c>
      <c r="E18" s="100">
        <f t="shared" si="2"/>
        <v>-89960000</v>
      </c>
      <c r="F18" s="100">
        <f t="shared" si="2"/>
        <v>-92493800</v>
      </c>
      <c r="G18" s="100">
        <f t="shared" si="2"/>
        <v>-95103614</v>
      </c>
      <c r="H18" s="100">
        <f t="shared" si="2"/>
        <v>-97791722.420000002</v>
      </c>
      <c r="I18" s="100">
        <f t="shared" si="2"/>
        <v>-100560474.09260002</v>
      </c>
      <c r="J18" s="100">
        <f t="shared" si="2"/>
        <v>-103412288.31537801</v>
      </c>
      <c r="K18" s="100">
        <f t="shared" si="2"/>
        <v>-103849656.96483937</v>
      </c>
      <c r="L18" s="100">
        <f t="shared" si="2"/>
        <v>-106875146.67378454</v>
      </c>
      <c r="M18" s="115">
        <f t="shared" si="2"/>
        <v>-109991401.07399806</v>
      </c>
    </row>
    <row r="19" spans="2:13">
      <c r="B19" s="116" t="s">
        <v>96</v>
      </c>
      <c r="C19" s="103"/>
      <c r="D19" s="103">
        <f>-Datos!$G$20*'Análisis de alternativas'!D18</f>
        <v>10500000</v>
      </c>
      <c r="E19" s="103">
        <f>-Datos!$G$20*'Análisis de alternativas'!E18</f>
        <v>10795200</v>
      </c>
      <c r="F19" s="103">
        <f>-Datos!$G$20*'Análisis de alternativas'!F18</f>
        <v>11099256</v>
      </c>
      <c r="G19" s="103">
        <f>-Datos!$G$20*'Análisis de alternativas'!G18</f>
        <v>11412433.68</v>
      </c>
      <c r="H19" s="103">
        <f>-Datos!$G$20*'Análisis de alternativas'!H18</f>
        <v>11735006.690400001</v>
      </c>
      <c r="I19" s="103">
        <f>-Datos!$G$20*'Análisis de alternativas'!I18</f>
        <v>12067256.891112002</v>
      </c>
      <c r="J19" s="103">
        <f>-Datos!$G$20*'Análisis de alternativas'!J18</f>
        <v>12409474.597845361</v>
      </c>
      <c r="K19" s="103">
        <f>-Datos!$G$20*'Análisis de alternativas'!K18</f>
        <v>12461958.835780723</v>
      </c>
      <c r="L19" s="103">
        <f>-Datos!$G$20*'Análisis de alternativas'!L18</f>
        <v>12825017.600854144</v>
      </c>
      <c r="M19" s="117">
        <f>-Datos!$G$20*'Análisis de alternativas'!M18</f>
        <v>13198968.128879767</v>
      </c>
    </row>
    <row r="20" spans="2:13">
      <c r="B20" s="57" t="s">
        <v>83</v>
      </c>
      <c r="C20" s="58"/>
      <c r="D20" s="58">
        <f t="shared" ref="D20:M20" si="3">SUM(D18:D19)</f>
        <v>-77000000</v>
      </c>
      <c r="E20" s="58">
        <f t="shared" si="3"/>
        <v>-79164800</v>
      </c>
      <c r="F20" s="58">
        <f t="shared" si="3"/>
        <v>-81394544</v>
      </c>
      <c r="G20" s="58">
        <f t="shared" si="3"/>
        <v>-83691180.319999993</v>
      </c>
      <c r="H20" s="58">
        <f t="shared" si="3"/>
        <v>-86056715.729599997</v>
      </c>
      <c r="I20" s="58">
        <f t="shared" si="3"/>
        <v>-88493217.201488018</v>
      </c>
      <c r="J20" s="58">
        <f t="shared" si="3"/>
        <v>-91002813.71753265</v>
      </c>
      <c r="K20" s="58">
        <f t="shared" si="3"/>
        <v>-91387698.129058644</v>
      </c>
      <c r="L20" s="58">
        <f t="shared" si="3"/>
        <v>-94050129.072930396</v>
      </c>
      <c r="M20" s="59">
        <f t="shared" si="3"/>
        <v>-96792432.945118293</v>
      </c>
    </row>
    <row r="21" spans="2:13"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2:13">
      <c r="B22" s="57" t="s">
        <v>95</v>
      </c>
      <c r="C22" s="58"/>
      <c r="D22" s="58">
        <f t="shared" ref="D22:M22" si="4">-D15</f>
        <v>2500000</v>
      </c>
      <c r="E22" s="58">
        <f t="shared" si="4"/>
        <v>2500000</v>
      </c>
      <c r="F22" s="58">
        <f t="shared" si="4"/>
        <v>2500000</v>
      </c>
      <c r="G22" s="58">
        <f t="shared" si="4"/>
        <v>2500000</v>
      </c>
      <c r="H22" s="58">
        <f t="shared" si="4"/>
        <v>2500000</v>
      </c>
      <c r="I22" s="58">
        <f t="shared" si="4"/>
        <v>2500000</v>
      </c>
      <c r="J22" s="58">
        <f t="shared" si="4"/>
        <v>2500000</v>
      </c>
      <c r="K22" s="58">
        <f t="shared" si="4"/>
        <v>0</v>
      </c>
      <c r="L22" s="58">
        <f t="shared" si="4"/>
        <v>0</v>
      </c>
      <c r="M22" s="59">
        <f t="shared" si="4"/>
        <v>0</v>
      </c>
    </row>
    <row r="23" spans="2:13">
      <c r="B23" s="57" t="s">
        <v>94</v>
      </c>
      <c r="C23" s="58"/>
      <c r="D23" s="58">
        <f t="shared" ref="D23:M23" si="5">-D16</f>
        <v>3000000</v>
      </c>
      <c r="E23" s="58">
        <f t="shared" si="5"/>
        <v>3000000</v>
      </c>
      <c r="F23" s="58">
        <f t="shared" si="5"/>
        <v>3000000</v>
      </c>
      <c r="G23" s="58">
        <f t="shared" si="5"/>
        <v>3000000</v>
      </c>
      <c r="H23" s="58">
        <f t="shared" si="5"/>
        <v>3000000</v>
      </c>
      <c r="I23" s="58">
        <f t="shared" si="5"/>
        <v>3000000</v>
      </c>
      <c r="J23" s="58">
        <f t="shared" si="5"/>
        <v>3000000</v>
      </c>
      <c r="K23" s="58">
        <f t="shared" si="5"/>
        <v>3000000</v>
      </c>
      <c r="L23" s="58">
        <f t="shared" si="5"/>
        <v>3000000</v>
      </c>
      <c r="M23" s="59">
        <f t="shared" si="5"/>
        <v>3000000</v>
      </c>
    </row>
    <row r="24" spans="2:13">
      <c r="B24" s="57" t="s">
        <v>93</v>
      </c>
      <c r="C24" s="58">
        <f>-Datos!K5</f>
        <v>-32000000</v>
      </c>
      <c r="D24" s="58"/>
      <c r="E24" s="58"/>
      <c r="F24" s="58"/>
      <c r="G24" s="58"/>
      <c r="H24" s="58"/>
      <c r="I24" s="58"/>
      <c r="J24" s="58"/>
      <c r="K24" s="58"/>
      <c r="L24" s="58"/>
      <c r="M24" s="59"/>
    </row>
    <row r="25" spans="2:13">
      <c r="B25" s="57" t="s">
        <v>80</v>
      </c>
      <c r="C25" s="58">
        <f t="shared" ref="C25:M25" si="6">Q13</f>
        <v>-38500000</v>
      </c>
      <c r="D25" s="58">
        <f t="shared" si="6"/>
        <v>-1155000</v>
      </c>
      <c r="E25" s="58">
        <f t="shared" si="6"/>
        <v>-1189650</v>
      </c>
      <c r="F25" s="58">
        <f t="shared" si="6"/>
        <v>-1225339.5</v>
      </c>
      <c r="G25" s="58">
        <f t="shared" si="6"/>
        <v>-1262099.6850000024</v>
      </c>
      <c r="H25" s="58">
        <f t="shared" si="6"/>
        <v>-1299962.6755500063</v>
      </c>
      <c r="I25" s="58">
        <f t="shared" si="6"/>
        <v>-1338961.5558164939</v>
      </c>
      <c r="J25" s="58">
        <f t="shared" si="6"/>
        <v>-1379130.4024910033</v>
      </c>
      <c r="K25" s="58">
        <f t="shared" si="6"/>
        <v>-1420504.3145657256</v>
      </c>
      <c r="L25" s="58">
        <f t="shared" si="6"/>
        <v>-1463119.4440026879</v>
      </c>
      <c r="M25" s="59">
        <f t="shared" si="6"/>
        <v>50233767.577425919</v>
      </c>
    </row>
    <row r="26" spans="2:13" ht="13.3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2:13" ht="13.3" thickBot="1">
      <c r="B27" s="48" t="s">
        <v>79</v>
      </c>
      <c r="C27" s="112">
        <f>SUM(C24:C25)</f>
        <v>-70500000</v>
      </c>
      <c r="D27" s="112">
        <f t="shared" ref="D27:M27" si="7">SUM(D20:D25)</f>
        <v>-72655000</v>
      </c>
      <c r="E27" s="112">
        <f t="shared" si="7"/>
        <v>-74854450</v>
      </c>
      <c r="F27" s="112">
        <f t="shared" si="7"/>
        <v>-77119883.5</v>
      </c>
      <c r="G27" s="112">
        <f t="shared" si="7"/>
        <v>-79453280.004999995</v>
      </c>
      <c r="H27" s="112">
        <f t="shared" si="7"/>
        <v>-81856678.405149996</v>
      </c>
      <c r="I27" s="112">
        <f t="shared" si="7"/>
        <v>-84332178.757304519</v>
      </c>
      <c r="J27" s="112">
        <f t="shared" si="7"/>
        <v>-86881944.120023653</v>
      </c>
      <c r="K27" s="112">
        <f t="shared" si="7"/>
        <v>-89808202.443624377</v>
      </c>
      <c r="L27" s="112">
        <f t="shared" si="7"/>
        <v>-92513248.516933084</v>
      </c>
      <c r="M27" s="113">
        <f t="shared" si="7"/>
        <v>-43558665.367692374</v>
      </c>
    </row>
    <row r="28" spans="2:13" ht="9" customHeight="1" thickBo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13.3" thickBot="1">
      <c r="B29" s="48" t="s">
        <v>78</v>
      </c>
      <c r="C29" s="47">
        <f>NPV(Datos!G20,'Análisis de alternativas'!D27:M27)+'Análisis de alternativas'!C27</f>
        <v>-512562369.78500438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2:13">
      <c r="B30" s="54"/>
      <c r="C30" s="54"/>
    </row>
    <row r="31" spans="2:13">
      <c r="B31" s="54"/>
      <c r="C31" s="54"/>
    </row>
    <row r="32" spans="2:13" ht="13.3" thickBot="1"/>
    <row r="33" spans="2:27" s="52" customFormat="1" ht="26.25" customHeight="1" thickBot="1">
      <c r="B33" s="93" t="s">
        <v>92</v>
      </c>
      <c r="C33" s="94"/>
    </row>
    <row r="34" spans="2:27" s="51" customFormat="1" ht="12.75" customHeight="1" thickBot="1">
      <c r="B34" s="51" t="s">
        <v>91</v>
      </c>
    </row>
    <row r="35" spans="2:27" s="51" customFormat="1" thickBot="1">
      <c r="P35" s="40"/>
      <c r="Q35" s="39" t="s">
        <v>54</v>
      </c>
      <c r="R35" s="39" t="s">
        <v>53</v>
      </c>
      <c r="S35" s="39" t="s">
        <v>52</v>
      </c>
      <c r="T35" s="39" t="s">
        <v>51</v>
      </c>
      <c r="U35" s="39" t="s">
        <v>50</v>
      </c>
      <c r="V35" s="39" t="s">
        <v>49</v>
      </c>
      <c r="W35" s="39" t="s">
        <v>48</v>
      </c>
      <c r="X35" s="39" t="s">
        <v>47</v>
      </c>
      <c r="Y35" s="39" t="s">
        <v>46</v>
      </c>
      <c r="Z35" s="39" t="s">
        <v>45</v>
      </c>
      <c r="AA35" s="38" t="s">
        <v>44</v>
      </c>
    </row>
    <row r="36" spans="2:27" s="50" customFormat="1">
      <c r="B36" s="40" t="s">
        <v>90</v>
      </c>
      <c r="C36" s="110" t="s">
        <v>54</v>
      </c>
      <c r="D36" s="110" t="s">
        <v>53</v>
      </c>
      <c r="E36" s="110" t="s">
        <v>52</v>
      </c>
      <c r="F36" s="110" t="s">
        <v>51</v>
      </c>
      <c r="G36" s="110" t="s">
        <v>50</v>
      </c>
      <c r="H36" s="110" t="s">
        <v>49</v>
      </c>
      <c r="I36" s="110" t="s">
        <v>48</v>
      </c>
      <c r="J36" s="110" t="s">
        <v>47</v>
      </c>
      <c r="K36" s="110" t="s">
        <v>46</v>
      </c>
      <c r="L36" s="110" t="s">
        <v>45</v>
      </c>
      <c r="M36" s="111" t="s">
        <v>44</v>
      </c>
      <c r="P36" s="37"/>
      <c r="Q36" s="9"/>
      <c r="R36" s="9"/>
      <c r="S36" s="9"/>
      <c r="T36" s="9"/>
      <c r="U36" s="9"/>
      <c r="V36" s="9"/>
      <c r="W36" s="9"/>
      <c r="X36" s="9"/>
      <c r="Y36" s="9"/>
      <c r="Z36" s="9"/>
      <c r="AA36" s="8"/>
    </row>
    <row r="37" spans="2:27" s="50" customForma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28"/>
      <c r="P37" s="36" t="s">
        <v>75</v>
      </c>
      <c r="Q37" s="35">
        <f t="shared" ref="Q37:AA37" si="8">-D39/2</f>
        <v>27500000</v>
      </c>
      <c r="R37" s="35">
        <f t="shared" si="8"/>
        <v>28325000</v>
      </c>
      <c r="S37" s="35">
        <f t="shared" si="8"/>
        <v>29174750.000000004</v>
      </c>
      <c r="T37" s="35">
        <f t="shared" si="8"/>
        <v>30049992.500000004</v>
      </c>
      <c r="U37" s="35">
        <f t="shared" si="8"/>
        <v>30951492.275000002</v>
      </c>
      <c r="V37" s="35">
        <f t="shared" si="8"/>
        <v>31880037.043250006</v>
      </c>
      <c r="W37" s="35">
        <f t="shared" si="8"/>
        <v>32836438.154547505</v>
      </c>
      <c r="X37" s="35">
        <f t="shared" si="8"/>
        <v>33821531.299183935</v>
      </c>
      <c r="Y37" s="35">
        <f t="shared" si="8"/>
        <v>34836177.238159448</v>
      </c>
      <c r="Z37" s="35">
        <f t="shared" si="8"/>
        <v>35881262.555304229</v>
      </c>
      <c r="AA37" s="64">
        <f t="shared" si="8"/>
        <v>0</v>
      </c>
    </row>
    <row r="38" spans="2:27" s="50" customFormat="1">
      <c r="B38" s="57" t="s">
        <v>89</v>
      </c>
      <c r="C38" s="58"/>
      <c r="D38" s="58">
        <f>Datos!$O$10*'Análisis de alternativas'!D4</f>
        <v>5000000</v>
      </c>
      <c r="E38" s="58">
        <f>Datos!$O$10*'Análisis de alternativas'!E4</f>
        <v>5150000</v>
      </c>
      <c r="F38" s="58">
        <f>Datos!$O$10*'Análisis de alternativas'!F4</f>
        <v>5304500</v>
      </c>
      <c r="G38" s="58">
        <f>Datos!$O$10*'Análisis de alternativas'!G4</f>
        <v>5463635</v>
      </c>
      <c r="H38" s="58">
        <f>Datos!$O$10*'Análisis de alternativas'!H4</f>
        <v>5627544.0499999998</v>
      </c>
      <c r="I38" s="58">
        <f>Datos!$O$10*'Análisis de alternativas'!I4</f>
        <v>5796370.3715000013</v>
      </c>
      <c r="J38" s="58">
        <f>Datos!$O$10*'Análisis de alternativas'!J4</f>
        <v>5970261.4826450013</v>
      </c>
      <c r="K38" s="58">
        <f>Datos!$O$10*'Análisis de alternativas'!K4</f>
        <v>6149369.3271243516</v>
      </c>
      <c r="L38" s="58">
        <f>Datos!$O$10*'Análisis de alternativas'!L4</f>
        <v>6333850.4069380816</v>
      </c>
      <c r="M38" s="59">
        <f>Datos!$O$10*'Análisis de alternativas'!M4</f>
        <v>6523865.9191462239</v>
      </c>
      <c r="N38" s="28"/>
      <c r="P38" s="36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64"/>
    </row>
    <row r="39" spans="2:27" ht="13.3" thickBot="1">
      <c r="B39" s="57" t="s">
        <v>88</v>
      </c>
      <c r="C39" s="58"/>
      <c r="D39" s="58">
        <f>-Datos!$O$8*'Análisis de alternativas'!D4</f>
        <v>-55000000</v>
      </c>
      <c r="E39" s="58">
        <f>-Datos!$O$8*'Análisis de alternativas'!E4</f>
        <v>-56650000</v>
      </c>
      <c r="F39" s="58">
        <f>-Datos!$O$8*'Análisis de alternativas'!F4</f>
        <v>-58349500.000000007</v>
      </c>
      <c r="G39" s="58">
        <f>-Datos!$O$8*'Análisis de alternativas'!G4</f>
        <v>-60099985.000000007</v>
      </c>
      <c r="H39" s="58">
        <f>-Datos!$O$8*'Análisis de alternativas'!H4</f>
        <v>-61902984.550000004</v>
      </c>
      <c r="I39" s="58">
        <f>-Datos!$O$8*'Análisis de alternativas'!I4</f>
        <v>-63760074.086500011</v>
      </c>
      <c r="J39" s="58">
        <f>-Datos!$O$8*'Análisis de alternativas'!J4</f>
        <v>-65672876.30909501</v>
      </c>
      <c r="K39" s="58">
        <f>-Datos!$O$8*'Análisis de alternativas'!K4</f>
        <v>-67643062.59836787</v>
      </c>
      <c r="L39" s="58">
        <f>-Datos!$O$8*'Análisis de alternativas'!L4</f>
        <v>-69672354.476318896</v>
      </c>
      <c r="M39" s="59">
        <f>-Datos!$O$8*'Análisis de alternativas'!M4</f>
        <v>-71762525.110608459</v>
      </c>
      <c r="N39" s="28"/>
      <c r="P39" s="34" t="s">
        <v>73</v>
      </c>
      <c r="Q39" s="33">
        <f>-Q37</f>
        <v>-27500000</v>
      </c>
      <c r="R39" s="33">
        <f>-R37-Q39</f>
        <v>-825000</v>
      </c>
      <c r="S39" s="33">
        <f>-S37-SUM(Q39:R39)</f>
        <v>-849750.00000000373</v>
      </c>
      <c r="T39" s="33">
        <f>-T37-SUM(Q39:S39)</f>
        <v>-875242.5</v>
      </c>
      <c r="U39" s="33">
        <f>-U37-SUM(Q39:T39)</f>
        <v>-901499.77499999851</v>
      </c>
      <c r="V39" s="33">
        <f>-V37-SUM(Q39:U39)</f>
        <v>-928544.76825000346</v>
      </c>
      <c r="W39" s="33">
        <f>-W37-SUM(Q39:V39)</f>
        <v>-956401.11129749939</v>
      </c>
      <c r="X39" s="33">
        <f>-X37-SUM(Q39:W39)</f>
        <v>-985093.14463642985</v>
      </c>
      <c r="Y39" s="33">
        <f>-Y37-SUM(Q39:X39)</f>
        <v>-1014645.938975513</v>
      </c>
      <c r="Z39" s="33">
        <f>-Z37-SUM(Q39:Y39)</f>
        <v>-1045085.3171447814</v>
      </c>
      <c r="AA39" s="32">
        <f>-SUM(Q39:Z39)</f>
        <v>35881262.555304229</v>
      </c>
    </row>
    <row r="40" spans="2:27">
      <c r="B40" s="57" t="s">
        <v>82</v>
      </c>
      <c r="C40" s="58"/>
      <c r="D40" s="58">
        <f>-Datos!O5/Datos!O6</f>
        <v>-7500000</v>
      </c>
      <c r="E40" s="58">
        <f t="shared" ref="E40:M40" si="9">D40</f>
        <v>-7500000</v>
      </c>
      <c r="F40" s="58">
        <f t="shared" si="9"/>
        <v>-7500000</v>
      </c>
      <c r="G40" s="58">
        <f t="shared" si="9"/>
        <v>-7500000</v>
      </c>
      <c r="H40" s="58">
        <f t="shared" si="9"/>
        <v>-7500000</v>
      </c>
      <c r="I40" s="58">
        <f t="shared" si="9"/>
        <v>-7500000</v>
      </c>
      <c r="J40" s="58">
        <f t="shared" si="9"/>
        <v>-7500000</v>
      </c>
      <c r="K40" s="58">
        <f t="shared" si="9"/>
        <v>-7500000</v>
      </c>
      <c r="L40" s="58">
        <f t="shared" si="9"/>
        <v>-7500000</v>
      </c>
      <c r="M40" s="59">
        <f t="shared" si="9"/>
        <v>-7500000</v>
      </c>
      <c r="N40" s="28"/>
    </row>
    <row r="41" spans="2:27">
      <c r="B41" s="57" t="s">
        <v>87</v>
      </c>
      <c r="C41" s="58">
        <f>Datos!G15</f>
        <v>20000000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28"/>
    </row>
    <row r="42" spans="2:27">
      <c r="B42" s="57" t="s">
        <v>81</v>
      </c>
      <c r="C42" s="58">
        <f>(Datos!G14-(Datos!G14/10)*2)*-1</f>
        <v>-20000000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28"/>
    </row>
    <row r="43" spans="2:27">
      <c r="B43" s="57" t="s">
        <v>86</v>
      </c>
      <c r="C43" s="58"/>
      <c r="D43" s="58"/>
      <c r="E43" s="58"/>
      <c r="F43" s="58"/>
      <c r="G43" s="58"/>
      <c r="H43" s="58">
        <f>1000000*-1/1000</f>
        <v>-1000</v>
      </c>
      <c r="I43" s="58"/>
      <c r="J43" s="58"/>
      <c r="K43" s="58"/>
      <c r="L43" s="58"/>
      <c r="M43" s="59"/>
      <c r="N43" s="28"/>
    </row>
    <row r="44" spans="2:27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28"/>
    </row>
    <row r="45" spans="2:27">
      <c r="B45" s="114" t="s">
        <v>85</v>
      </c>
      <c r="C45" s="100">
        <f>SUM(C39:C43)</f>
        <v>0</v>
      </c>
      <c r="D45" s="100">
        <f t="shared" ref="D45:M45" si="10">SUM(D38:D43)</f>
        <v>-57500000</v>
      </c>
      <c r="E45" s="100">
        <f t="shared" si="10"/>
        <v>-59000000</v>
      </c>
      <c r="F45" s="100">
        <f t="shared" si="10"/>
        <v>-60545000.000000007</v>
      </c>
      <c r="G45" s="100">
        <f t="shared" si="10"/>
        <v>-62136350.000000007</v>
      </c>
      <c r="H45" s="100">
        <f t="shared" si="10"/>
        <v>-63776440.500000007</v>
      </c>
      <c r="I45" s="100">
        <f t="shared" si="10"/>
        <v>-65463703.715000011</v>
      </c>
      <c r="J45" s="100">
        <f t="shared" si="10"/>
        <v>-67202614.826450005</v>
      </c>
      <c r="K45" s="100">
        <f t="shared" si="10"/>
        <v>-68993693.271243513</v>
      </c>
      <c r="L45" s="100">
        <f t="shared" si="10"/>
        <v>-70838504.06938082</v>
      </c>
      <c r="M45" s="115">
        <f t="shared" si="10"/>
        <v>-72738659.191462234</v>
      </c>
      <c r="N45" s="28"/>
    </row>
    <row r="46" spans="2:27">
      <c r="B46" s="116" t="s">
        <v>84</v>
      </c>
      <c r="C46" s="103">
        <f>C45*Datos!$G$19</f>
        <v>0</v>
      </c>
      <c r="D46" s="103">
        <f>-SUM(D38:D43)*Datos!$G$19</f>
        <v>15525000.000000002</v>
      </c>
      <c r="E46" s="103">
        <f>-SUM(E38:E43)*Datos!$G$19</f>
        <v>15930000.000000002</v>
      </c>
      <c r="F46" s="103">
        <f>-SUM(F38:F43)*Datos!$G$19</f>
        <v>16347150.000000004</v>
      </c>
      <c r="G46" s="103">
        <f>-SUM(G38:G43)*Datos!$G$19</f>
        <v>16776814.500000004</v>
      </c>
      <c r="H46" s="103">
        <f>-SUM(H38:H43)*Datos!$G$19</f>
        <v>17219638.935000002</v>
      </c>
      <c r="I46" s="103">
        <f>-SUM(I38:I43)*Datos!$G$19</f>
        <v>17675200.003050003</v>
      </c>
      <c r="J46" s="103">
        <f>-SUM(J38:J43)*Datos!$G$19</f>
        <v>18144706.003141504</v>
      </c>
      <c r="K46" s="103">
        <f>-SUM(K38:K43)*Datos!$G$19</f>
        <v>18628297.18323575</v>
      </c>
      <c r="L46" s="103">
        <f>-SUM(L38:L43)*Datos!$G$19</f>
        <v>19126396.098732822</v>
      </c>
      <c r="M46" s="117">
        <f>-SUM(M38:M43)*Datos!$G$19</f>
        <v>19639437.981694803</v>
      </c>
      <c r="N46" s="28"/>
    </row>
    <row r="47" spans="2:27">
      <c r="B47" s="57" t="s">
        <v>83</v>
      </c>
      <c r="C47" s="58">
        <f t="shared" ref="C47:M47" si="11">C45+C46</f>
        <v>0</v>
      </c>
      <c r="D47" s="58">
        <f t="shared" si="11"/>
        <v>-41975000</v>
      </c>
      <c r="E47" s="58">
        <f t="shared" si="11"/>
        <v>-43070000</v>
      </c>
      <c r="F47" s="58">
        <f t="shared" si="11"/>
        <v>-44197850</v>
      </c>
      <c r="G47" s="58">
        <f t="shared" si="11"/>
        <v>-45359535.5</v>
      </c>
      <c r="H47" s="58">
        <f t="shared" si="11"/>
        <v>-46556801.565000005</v>
      </c>
      <c r="I47" s="58">
        <f t="shared" si="11"/>
        <v>-47788503.711950004</v>
      </c>
      <c r="J47" s="58">
        <f t="shared" si="11"/>
        <v>-49057908.823308498</v>
      </c>
      <c r="K47" s="58">
        <f t="shared" si="11"/>
        <v>-50365396.088007763</v>
      </c>
      <c r="L47" s="58">
        <f t="shared" si="11"/>
        <v>-51712107.970647998</v>
      </c>
      <c r="M47" s="59">
        <f t="shared" si="11"/>
        <v>-53099221.209767431</v>
      </c>
      <c r="N47" s="28"/>
    </row>
    <row r="48" spans="2:27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28"/>
    </row>
    <row r="49" spans="2:14">
      <c r="B49" s="57" t="s">
        <v>82</v>
      </c>
      <c r="C49" s="58"/>
      <c r="D49" s="58">
        <f t="shared" ref="D49:M49" si="12">-D40</f>
        <v>7500000</v>
      </c>
      <c r="E49" s="58">
        <f t="shared" si="12"/>
        <v>7500000</v>
      </c>
      <c r="F49" s="58">
        <f t="shared" si="12"/>
        <v>7500000</v>
      </c>
      <c r="G49" s="58">
        <f t="shared" si="12"/>
        <v>7500000</v>
      </c>
      <c r="H49" s="58">
        <f t="shared" si="12"/>
        <v>7500000</v>
      </c>
      <c r="I49" s="58">
        <f t="shared" si="12"/>
        <v>7500000</v>
      </c>
      <c r="J49" s="58">
        <f t="shared" si="12"/>
        <v>7500000</v>
      </c>
      <c r="K49" s="58">
        <f t="shared" si="12"/>
        <v>7500000</v>
      </c>
      <c r="L49" s="58">
        <f t="shared" si="12"/>
        <v>7500000</v>
      </c>
      <c r="M49" s="59">
        <f t="shared" si="12"/>
        <v>7500000</v>
      </c>
      <c r="N49" s="28"/>
    </row>
    <row r="50" spans="2:14">
      <c r="B50" s="57" t="s">
        <v>81</v>
      </c>
      <c r="C50" s="58">
        <f>C41</f>
        <v>20000000</v>
      </c>
      <c r="D50" s="58"/>
      <c r="E50" s="58"/>
      <c r="F50" s="58"/>
      <c r="G50" s="58"/>
      <c r="H50" s="58"/>
      <c r="I50" s="58"/>
      <c r="J50" s="58"/>
      <c r="K50" s="58"/>
      <c r="L50" s="58"/>
      <c r="M50" s="59"/>
      <c r="N50" s="28"/>
    </row>
    <row r="51" spans="2:14">
      <c r="B51" s="57" t="s">
        <v>120</v>
      </c>
      <c r="C51" s="58">
        <f>-Datos!O5</f>
        <v>-75000000</v>
      </c>
      <c r="D51" s="60"/>
      <c r="E51" s="60"/>
      <c r="F51" s="60"/>
      <c r="G51" s="60"/>
      <c r="H51" s="60"/>
      <c r="I51" s="60"/>
      <c r="J51" s="60"/>
      <c r="K51" s="60"/>
      <c r="L51" s="60"/>
      <c r="M51" s="61"/>
    </row>
    <row r="52" spans="2:14">
      <c r="B52" s="57" t="s">
        <v>80</v>
      </c>
      <c r="C52" s="58">
        <f t="shared" ref="C52:M52" si="13">Q39</f>
        <v>-27500000</v>
      </c>
      <c r="D52" s="58">
        <f t="shared" si="13"/>
        <v>-825000</v>
      </c>
      <c r="E52" s="58">
        <f t="shared" si="13"/>
        <v>-849750.00000000373</v>
      </c>
      <c r="F52" s="58">
        <f t="shared" si="13"/>
        <v>-875242.5</v>
      </c>
      <c r="G52" s="58">
        <f t="shared" si="13"/>
        <v>-901499.77499999851</v>
      </c>
      <c r="H52" s="58">
        <f t="shared" si="13"/>
        <v>-928544.76825000346</v>
      </c>
      <c r="I52" s="58">
        <f t="shared" si="13"/>
        <v>-956401.11129749939</v>
      </c>
      <c r="J52" s="58">
        <f t="shared" si="13"/>
        <v>-985093.14463642985</v>
      </c>
      <c r="K52" s="58">
        <f t="shared" si="13"/>
        <v>-1014645.938975513</v>
      </c>
      <c r="L52" s="58">
        <f t="shared" si="13"/>
        <v>-1045085.3171447814</v>
      </c>
      <c r="M52" s="59">
        <f t="shared" si="13"/>
        <v>35881262.555304229</v>
      </c>
      <c r="N52" s="28"/>
    </row>
    <row r="53" spans="2:14" ht="13.3" thickBot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28"/>
    </row>
    <row r="54" spans="2:14" s="49" customFormat="1" ht="13.3" thickBot="1">
      <c r="B54" s="48" t="s">
        <v>79</v>
      </c>
      <c r="C54" s="112">
        <f t="shared" ref="C54:M54" si="14">SUM(C47:C52)</f>
        <v>-82500000</v>
      </c>
      <c r="D54" s="112">
        <f t="shared" si="14"/>
        <v>-35300000</v>
      </c>
      <c r="E54" s="112">
        <f t="shared" si="14"/>
        <v>-36419750</v>
      </c>
      <c r="F54" s="112">
        <f t="shared" si="14"/>
        <v>-37573092.5</v>
      </c>
      <c r="G54" s="112">
        <f t="shared" si="14"/>
        <v>-38761035.274999999</v>
      </c>
      <c r="H54" s="112">
        <f t="shared" si="14"/>
        <v>-39985346.333250009</v>
      </c>
      <c r="I54" s="112">
        <f t="shared" si="14"/>
        <v>-41244904.823247507</v>
      </c>
      <c r="J54" s="112">
        <f t="shared" si="14"/>
        <v>-42543001.967944928</v>
      </c>
      <c r="K54" s="112">
        <f t="shared" si="14"/>
        <v>-43880042.026983276</v>
      </c>
      <c r="L54" s="112">
        <f t="shared" si="14"/>
        <v>-45257193.28779278</v>
      </c>
      <c r="M54" s="113">
        <f t="shared" si="14"/>
        <v>-9717958.6544632018</v>
      </c>
      <c r="N54" s="28"/>
    </row>
    <row r="55" spans="2:14" ht="9" customHeight="1" thickBot="1">
      <c r="B55" s="62"/>
      <c r="C55" s="6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8"/>
    </row>
    <row r="56" spans="2:14" ht="13.3" thickBot="1">
      <c r="B56" s="48" t="s">
        <v>78</v>
      </c>
      <c r="C56" s="47">
        <f>NPV(Datos!G20,D54:M54)+C54</f>
        <v>-294429121.10780442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8" spans="2:14" ht="13.3" thickBot="1"/>
    <row r="59" spans="2:14" ht="13.3" thickBot="1">
      <c r="B59" s="48" t="s">
        <v>121</v>
      </c>
      <c r="C59" s="47">
        <f>C56-C29</f>
        <v>218133248.67719996</v>
      </c>
    </row>
  </sheetData>
  <mergeCells count="2">
    <mergeCell ref="B8:C8"/>
    <mergeCell ref="B33:C33"/>
  </mergeCells>
  <printOptions horizontalCentered="1" verticalCentered="1"/>
  <pageMargins left="1.8503937007874016" right="1.8503937007874016" top="1.8897637795275593" bottom="1.5748031496062993" header="0.5" footer="0.5"/>
  <pageSetup orientation="portrait" horizontalDpi="4294967292" verticalDpi="4294967292" r:id="rId1"/>
  <headerFooter alignWithMargins="0">
    <oddHeader>Popeye&amp;RPage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Valorización sin Ampliación</vt:lpstr>
      <vt:lpstr>Análisis de alternativas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Duckmanx</dc:creator>
  <cp:lastModifiedBy>Rodrigo</cp:lastModifiedBy>
  <dcterms:created xsi:type="dcterms:W3CDTF">2018-12-17T23:47:51Z</dcterms:created>
  <dcterms:modified xsi:type="dcterms:W3CDTF">2019-01-09T04:09:50Z</dcterms:modified>
</cp:coreProperties>
</file>