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drigo\Dropbox\Ejercicios Alumnos\Nuevos\"/>
    </mc:Choice>
  </mc:AlternateContent>
  <xr:revisionPtr revIDLastSave="0" documentId="13_ncr:1_{84D4E25D-6BB3-40AB-A099-39335367C318}" xr6:coauthVersionLast="40" xr6:coauthVersionMax="40" xr10:uidLastSave="{00000000-0000-0000-0000-000000000000}"/>
  <bookViews>
    <workbookView xWindow="0" yWindow="0" windowWidth="20494" windowHeight="6943" activeTab="2" xr2:uid="{31912261-2644-40CE-8D9E-E8B2A0204776}"/>
  </bookViews>
  <sheets>
    <sheet name="Datos" sheetId="1" r:id="rId1"/>
    <sheet name="Calendario" sheetId="2" r:id="rId2"/>
    <sheet name="Flujo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4" i="3" l="1"/>
  <c r="D73" i="3"/>
  <c r="E73" i="3"/>
  <c r="E70" i="3"/>
  <c r="D70" i="3"/>
  <c r="E67" i="3"/>
  <c r="E68" i="3" s="1"/>
  <c r="D67" i="3"/>
  <c r="D68" i="3" s="1"/>
  <c r="E66" i="3"/>
  <c r="D66" i="3"/>
  <c r="L27" i="3" l="1"/>
  <c r="D34" i="3" l="1"/>
  <c r="D33" i="3"/>
  <c r="L18" i="3"/>
  <c r="I10" i="2"/>
  <c r="F11" i="2"/>
  <c r="C9" i="2"/>
  <c r="C51" i="3"/>
  <c r="C50" i="3"/>
  <c r="C49" i="3"/>
  <c r="O18" i="3"/>
  <c r="F11" i="1"/>
  <c r="N18" i="3"/>
  <c r="M18" i="3"/>
  <c r="C52" i="3" l="1"/>
  <c r="O19" i="3" s="1"/>
  <c r="O23" i="3" s="1"/>
  <c r="B53" i="3"/>
  <c r="B50" i="3"/>
  <c r="B51" i="3"/>
  <c r="B52" i="3"/>
  <c r="B49" i="3"/>
  <c r="D35" i="3"/>
  <c r="D44" i="3" s="1"/>
  <c r="E34" i="3"/>
  <c r="D42" i="3"/>
  <c r="B34" i="3"/>
  <c r="B43" i="3" s="1"/>
  <c r="B35" i="3"/>
  <c r="B44" i="3" s="1"/>
  <c r="B33" i="3"/>
  <c r="B42" i="3" s="1"/>
  <c r="E28" i="3"/>
  <c r="F28" i="3"/>
  <c r="G28" i="3"/>
  <c r="H28" i="3"/>
  <c r="D28" i="3"/>
  <c r="E27" i="3"/>
  <c r="F27" i="3"/>
  <c r="G27" i="3"/>
  <c r="H27" i="3"/>
  <c r="D27" i="3"/>
  <c r="E26" i="3"/>
  <c r="F26" i="3"/>
  <c r="G26" i="3"/>
  <c r="H26" i="3"/>
  <c r="D26" i="3"/>
  <c r="B19" i="3"/>
  <c r="B20" i="3"/>
  <c r="B21" i="3"/>
  <c r="B18" i="3"/>
  <c r="D12" i="3"/>
  <c r="E12" i="3" s="1"/>
  <c r="F12" i="3" s="1"/>
  <c r="G12" i="3" s="1"/>
  <c r="H12" i="3" s="1"/>
  <c r="D11" i="3"/>
  <c r="E11" i="3" s="1"/>
  <c r="F11" i="3" s="1"/>
  <c r="G11" i="3" s="1"/>
  <c r="H11" i="3" s="1"/>
  <c r="H19" i="3" s="1"/>
  <c r="C13" i="2"/>
  <c r="O12" i="2"/>
  <c r="C17" i="2" s="1"/>
  <c r="O20" i="3" l="1"/>
  <c r="C14" i="2"/>
  <c r="C16" i="2" s="1"/>
  <c r="C18" i="2" s="1"/>
  <c r="C53" i="3" s="1"/>
  <c r="E35" i="3"/>
  <c r="F35" i="3" s="1"/>
  <c r="G35" i="3" s="1"/>
  <c r="H35" i="3" s="1"/>
  <c r="H44" i="3" s="1"/>
  <c r="F21" i="3"/>
  <c r="F19" i="3"/>
  <c r="E33" i="3"/>
  <c r="F33" i="3" s="1"/>
  <c r="F42" i="3" s="1"/>
  <c r="D18" i="3"/>
  <c r="G20" i="3"/>
  <c r="H21" i="3"/>
  <c r="G19" i="3"/>
  <c r="H18" i="3"/>
  <c r="F20" i="3"/>
  <c r="F34" i="3"/>
  <c r="E43" i="3"/>
  <c r="G44" i="3"/>
  <c r="D43" i="3"/>
  <c r="F18" i="3"/>
  <c r="E21" i="3"/>
  <c r="E20" i="3"/>
  <c r="D19" i="3"/>
  <c r="E18" i="3"/>
  <c r="D21" i="3"/>
  <c r="E44" i="3"/>
  <c r="H17" i="3"/>
  <c r="G18" i="3"/>
  <c r="G21" i="3"/>
  <c r="H20" i="3"/>
  <c r="D20" i="3"/>
  <c r="E19" i="3"/>
  <c r="F17" i="3"/>
  <c r="D17" i="3"/>
  <c r="E17" i="3"/>
  <c r="G17" i="3"/>
  <c r="F44" i="3" l="1"/>
  <c r="N19" i="3" s="1"/>
  <c r="D23" i="3"/>
  <c r="D30" i="3" s="1"/>
  <c r="O21" i="3"/>
  <c r="O22" i="3" s="1"/>
  <c r="O24" i="3" s="1"/>
  <c r="F23" i="3"/>
  <c r="F30" i="3" s="1"/>
  <c r="G33" i="3"/>
  <c r="G42" i="3" s="1"/>
  <c r="E42" i="3"/>
  <c r="C54" i="3"/>
  <c r="G34" i="3"/>
  <c r="F43" i="3"/>
  <c r="H33" i="3"/>
  <c r="G23" i="3"/>
  <c r="E23" i="3"/>
  <c r="H23" i="3"/>
  <c r="D24" i="3" l="1"/>
  <c r="F24" i="3"/>
  <c r="N23" i="3"/>
  <c r="N20" i="3"/>
  <c r="N21" i="3" s="1"/>
  <c r="N22" i="3" s="1"/>
  <c r="N24" i="3" s="1"/>
  <c r="C56" i="3"/>
  <c r="L28" i="3" s="1"/>
  <c r="H34" i="3"/>
  <c r="H43" i="3" s="1"/>
  <c r="G43" i="3"/>
  <c r="H24" i="3"/>
  <c r="H30" i="3"/>
  <c r="H31" i="3" s="1"/>
  <c r="G24" i="3"/>
  <c r="G30" i="3"/>
  <c r="D31" i="3"/>
  <c r="D37" i="3"/>
  <c r="H42" i="3"/>
  <c r="L19" i="3" s="1"/>
  <c r="E24" i="3"/>
  <c r="E30" i="3"/>
  <c r="F31" i="3"/>
  <c r="F37" i="3"/>
  <c r="M19" i="3" l="1"/>
  <c r="M23" i="3" s="1"/>
  <c r="L23" i="3"/>
  <c r="L20" i="3"/>
  <c r="H37" i="3"/>
  <c r="C71" i="3"/>
  <c r="C73" i="3" s="1"/>
  <c r="E31" i="3"/>
  <c r="E37" i="3"/>
  <c r="D38" i="3"/>
  <c r="D39" i="3" s="1"/>
  <c r="D56" i="3" s="1"/>
  <c r="F38" i="3"/>
  <c r="F39" i="3" s="1"/>
  <c r="F56" i="3" s="1"/>
  <c r="G31" i="3"/>
  <c r="G37" i="3"/>
  <c r="H38" i="3"/>
  <c r="H39" i="3" s="1"/>
  <c r="M20" i="3" l="1"/>
  <c r="M21" i="3" s="1"/>
  <c r="M22" i="3" s="1"/>
  <c r="M24" i="3" s="1"/>
  <c r="C84" i="3"/>
  <c r="L21" i="3"/>
  <c r="L22" i="3" s="1"/>
  <c r="L24" i="3" s="1"/>
  <c r="G38" i="3"/>
  <c r="G39" i="3" s="1"/>
  <c r="G56" i="3" s="1"/>
  <c r="E38" i="3"/>
  <c r="E39" i="3" s="1"/>
  <c r="E56" i="3" s="1"/>
  <c r="E84" i="3" l="1"/>
  <c r="F86" i="3" s="1"/>
  <c r="F65" i="3" s="1"/>
  <c r="F66" i="3" s="1"/>
  <c r="D84" i="3"/>
  <c r="H46" i="3"/>
  <c r="H56" i="3" s="1"/>
  <c r="C58" i="3" s="1"/>
  <c r="F85" i="3" l="1"/>
  <c r="G85" i="3" s="1"/>
  <c r="F67" i="3"/>
  <c r="C59" i="3"/>
  <c r="F87" i="3" l="1"/>
  <c r="F68" i="3"/>
  <c r="H85" i="3"/>
  <c r="F84" i="3" l="1"/>
  <c r="G86" i="3" s="1"/>
  <c r="F70" i="3"/>
  <c r="F73" i="3" s="1"/>
  <c r="G65" i="3" l="1"/>
  <c r="G66" i="3" s="1"/>
  <c r="G87" i="3"/>
  <c r="G67" i="3" l="1"/>
  <c r="G84" i="3"/>
  <c r="H86" i="3" s="1"/>
  <c r="G70" i="3"/>
  <c r="H65" i="3" l="1"/>
  <c r="H66" i="3" s="1"/>
  <c r="H67" i="3" s="1"/>
  <c r="H68" i="3" s="1"/>
  <c r="H87" i="3"/>
  <c r="G68" i="3"/>
  <c r="G73" i="3" s="1"/>
  <c r="H84" i="3" l="1"/>
  <c r="H70" i="3"/>
  <c r="H73" i="3" s="1"/>
  <c r="C75" i="3" s="1"/>
  <c r="C79" i="3" s="1"/>
  <c r="G75" i="3"/>
</calcChain>
</file>

<file path=xl/sharedStrings.xml><?xml version="1.0" encoding="utf-8"?>
<sst xmlns="http://schemas.openxmlformats.org/spreadsheetml/2006/main" count="156" uniqueCount="122">
  <si>
    <t>Terreno</t>
  </si>
  <si>
    <t>Activo</t>
  </si>
  <si>
    <t>Cantidad</t>
  </si>
  <si>
    <t>Vida Util*</t>
  </si>
  <si>
    <t>Valor de Mercado**</t>
  </si>
  <si>
    <t>Valor de Salvamento</t>
  </si>
  <si>
    <t>Momento de Adquisición</t>
  </si>
  <si>
    <t>Dinosaurios</t>
  </si>
  <si>
    <t>Camiones</t>
  </si>
  <si>
    <t>6 meses antes</t>
  </si>
  <si>
    <t>Procesadora</t>
  </si>
  <si>
    <t>3 meses antes</t>
  </si>
  <si>
    <t>N/A</t>
  </si>
  <si>
    <t>Potencial Terreno</t>
  </si>
  <si>
    <t>Toneladas</t>
  </si>
  <si>
    <t>1 año antes</t>
  </si>
  <si>
    <t>venta 5 años despues</t>
  </si>
  <si>
    <t>Precio Tonelada</t>
  </si>
  <si>
    <t>hasta 3 año</t>
  </si>
  <si>
    <t>Precio Tonelada 2</t>
  </si>
  <si>
    <t>aumento has 5</t>
  </si>
  <si>
    <t>Insumo</t>
  </si>
  <si>
    <t>Mano obra directa</t>
  </si>
  <si>
    <t>Energía</t>
  </si>
  <si>
    <t>Extracción</t>
  </si>
  <si>
    <t>Costo procesamiento</t>
  </si>
  <si>
    <t>Total</t>
  </si>
  <si>
    <t>Costo x Tonelada</t>
  </si>
  <si>
    <t>Kilometro de distancia</t>
  </si>
  <si>
    <t>hasta Piedra Dura</t>
  </si>
  <si>
    <t>Costo transporte</t>
  </si>
  <si>
    <t>por KM/ 1 vez por mes/ al Contado</t>
  </si>
  <si>
    <t>Pago producto</t>
  </si>
  <si>
    <t>Días despues</t>
  </si>
  <si>
    <t>gastos administrativo</t>
  </si>
  <si>
    <t>mensuales</t>
  </si>
  <si>
    <t>seguros</t>
  </si>
  <si>
    <t>Ahorros socios</t>
  </si>
  <si>
    <t>piedrodolares mensuales/ modo final</t>
  </si>
  <si>
    <t>modo final</t>
  </si>
  <si>
    <t>Tiempo credito</t>
  </si>
  <si>
    <t>cuota credito</t>
  </si>
  <si>
    <t>Retorno Mercado</t>
  </si>
  <si>
    <t>Beta minero</t>
  </si>
  <si>
    <t>Tasa libre de riesgo</t>
  </si>
  <si>
    <t>Tasa Impuesto</t>
  </si>
  <si>
    <t>Demanda</t>
  </si>
  <si>
    <t>Dato</t>
  </si>
  <si>
    <t>Numero</t>
  </si>
  <si>
    <t>Detalle</t>
  </si>
  <si>
    <t xml:space="preserve">Mes antes puesta en marcha 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</si>
  <si>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</si>
  <si>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</si>
  <si>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</si>
  <si>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</si>
  <si>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</si>
  <si>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</si>
  <si>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</si>
  <si>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</si>
  <si>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</si>
  <si>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</si>
  <si>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</si>
  <si>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</si>
  <si>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Puesta en Marcha</t>
  </si>
  <si>
    <t>Tasa anual</t>
  </si>
  <si>
    <t>Valor Nominal Inversiones</t>
  </si>
  <si>
    <t>Costo Alternativo</t>
  </si>
  <si>
    <t>Año 1</t>
  </si>
  <si>
    <t>Año 2</t>
  </si>
  <si>
    <t>Año 3</t>
  </si>
  <si>
    <t>Año 4</t>
  </si>
  <si>
    <t>Año 5</t>
  </si>
  <si>
    <t>Precio</t>
  </si>
  <si>
    <t>Año 0</t>
  </si>
  <si>
    <t>Ingresos</t>
  </si>
  <si>
    <t>Margen Bruto</t>
  </si>
  <si>
    <t>Gastos Transporte</t>
  </si>
  <si>
    <t>Seguros</t>
  </si>
  <si>
    <t>Ebitda</t>
  </si>
  <si>
    <t>Utilidad antes de Impuesto</t>
  </si>
  <si>
    <t>Impuestos</t>
  </si>
  <si>
    <t>Utilidad despues de Impuestos</t>
  </si>
  <si>
    <t>Depreciaciones:</t>
  </si>
  <si>
    <t>Inversiones</t>
  </si>
  <si>
    <t>Valor de Desecho</t>
  </si>
  <si>
    <t>Valor de mercado</t>
  </si>
  <si>
    <t>Valor Libro</t>
  </si>
  <si>
    <t>UAI</t>
  </si>
  <si>
    <t>UDI</t>
  </si>
  <si>
    <t>VD</t>
  </si>
  <si>
    <t>Valores de Desecho</t>
  </si>
  <si>
    <t>Flujo</t>
  </si>
  <si>
    <t>TIR</t>
  </si>
  <si>
    <t>VAN PURO 16,8%</t>
  </si>
  <si>
    <t>Capital Inversionistas</t>
  </si>
  <si>
    <t>Tasa credito</t>
  </si>
  <si>
    <t>Tiempo Ahorro</t>
  </si>
  <si>
    <t>años</t>
  </si>
  <si>
    <t>Tasa Ahorro</t>
  </si>
  <si>
    <t xml:space="preserve">Fuente Inversiones </t>
  </si>
  <si>
    <t>Intereses</t>
  </si>
  <si>
    <t>Ahorro Tributario</t>
  </si>
  <si>
    <t>VAN Deuda</t>
  </si>
  <si>
    <t>Valor Proyecto Financiado</t>
  </si>
  <si>
    <t xml:space="preserve">Calendario de Inversiones </t>
  </si>
  <si>
    <t>Datos</t>
  </si>
  <si>
    <t>Flujo de Caja</t>
  </si>
  <si>
    <t>Monto préstamo</t>
  </si>
  <si>
    <t>Gastos Administrativos</t>
  </si>
  <si>
    <t>períodos de gracia crédito</t>
  </si>
  <si>
    <t>Capital de Trabajo</t>
  </si>
  <si>
    <t>Tabla de Amortización</t>
  </si>
  <si>
    <t>Amortizaciones</t>
  </si>
  <si>
    <t>Saldo</t>
  </si>
  <si>
    <t>Cuota</t>
  </si>
  <si>
    <t>Resultado antes de Impto</t>
  </si>
  <si>
    <t>Resultado después de Impuesto</t>
  </si>
  <si>
    <t>Préstamo</t>
  </si>
  <si>
    <t>Amortización</t>
  </si>
  <si>
    <t>VAN Ahorro Tributario</t>
  </si>
  <si>
    <t>Valor Actual Inversiones  (Valor Futuro)</t>
  </si>
  <si>
    <t>Tasa Mensual (Compuesta)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</si>
</sst>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;[Red]&quot;$&quot;\-#,##0"/>
    <numFmt numFmtId="42" formatCode="_ &quot;$&quot;* #,##0_ ;_ &quot;$&quot;* \-#,##0_ ;_ &quot;$&quot;* &quot;-&quot;_ ;_ @_ "/>
    <numFmt numFmtId="41" formatCode="_ * #,##0_ ;_ * \-#,##0_ ;_ * &quot;-&quot;_ ;_ @_ "/>
    <numFmt numFmtId="164" formatCode="&quot;$&quot;#,##0;[Red]\(&quot;$&quot;#,##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2">
    <xf numFmtId="0" fontId="0" fillId="0" borderId="0" xfId="0"/>
    <xf numFmtId="0" fontId="6" fillId="0" borderId="2" xfId="0" applyFont="1" applyBorder="1" applyAlignment="1">
      <alignment horizontal="center" vertical="center" wrapText="1"/>
    </xf>
    <xf numFmtId="0" fontId="0" fillId="0" borderId="6" xfId="0" applyBorder="1"/>
    <xf numFmtId="0" fontId="0" fillId="0" borderId="3" xfId="0" applyBorder="1"/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6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6" fontId="6" fillId="0" borderId="2" xfId="0" applyNumberFormat="1" applyFont="1" applyBorder="1" applyAlignment="1">
      <alignment horizontal="center" vertical="center" wrapText="1"/>
    </xf>
    <xf numFmtId="6" fontId="6" fillId="0" borderId="4" xfId="0" applyNumberFormat="1" applyFont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5" fillId="0" borderId="9" xfId="0" applyFont="1" applyFill="1" applyBorder="1" applyAlignment="1">
      <alignment horizontal="justify" vertical="center" wrapText="1"/>
    </xf>
    <xf numFmtId="6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/>
    <xf numFmtId="9" fontId="0" fillId="0" borderId="0" xfId="0" applyNumberFormat="1" applyBorder="1"/>
    <xf numFmtId="0" fontId="0" fillId="0" borderId="9" xfId="0" applyBorder="1"/>
    <xf numFmtId="9" fontId="0" fillId="0" borderId="3" xfId="0" applyNumberFormat="1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4" fillId="3" borderId="0" xfId="0" applyFont="1" applyFill="1"/>
    <xf numFmtId="0" fontId="4" fillId="0" borderId="0" xfId="0" applyFont="1"/>
    <xf numFmtId="0" fontId="2" fillId="3" borderId="0" xfId="0" applyFont="1" applyFill="1"/>
    <xf numFmtId="0" fontId="4" fillId="3" borderId="5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3" fontId="0" fillId="0" borderId="0" xfId="0" applyNumberFormat="1" applyFont="1" applyBorder="1"/>
    <xf numFmtId="3" fontId="0" fillId="0" borderId="2" xfId="0" applyNumberFormat="1" applyFont="1" applyBorder="1"/>
    <xf numFmtId="42" fontId="0" fillId="0" borderId="3" xfId="1" applyFont="1" applyBorder="1"/>
    <xf numFmtId="42" fontId="0" fillId="0" borderId="4" xfId="1" applyFont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9" xfId="0" applyFont="1" applyFill="1" applyBorder="1"/>
    <xf numFmtId="0" fontId="0" fillId="0" borderId="0" xfId="0" applyFill="1" applyBorder="1"/>
    <xf numFmtId="10" fontId="0" fillId="0" borderId="0" xfId="0" applyNumberFormat="1" applyBorder="1"/>
    <xf numFmtId="0" fontId="3" fillId="0" borderId="10" xfId="0" applyFont="1" applyBorder="1"/>
    <xf numFmtId="0" fontId="3" fillId="0" borderId="5" xfId="0" applyFont="1" applyBorder="1"/>
    <xf numFmtId="0" fontId="3" fillId="0" borderId="9" xfId="0" applyFont="1" applyBorder="1"/>
    <xf numFmtId="9" fontId="3" fillId="0" borderId="4" xfId="0" applyNumberFormat="1" applyFont="1" applyBorder="1"/>
    <xf numFmtId="164" fontId="0" fillId="0" borderId="0" xfId="0" applyNumberFormat="1"/>
    <xf numFmtId="164" fontId="0" fillId="4" borderId="0" xfId="0" applyNumberFormat="1" applyFill="1"/>
    <xf numFmtId="164" fontId="0" fillId="0" borderId="0" xfId="2" applyNumberFormat="1" applyFont="1"/>
    <xf numFmtId="164" fontId="0" fillId="0" borderId="0" xfId="0" applyNumberFormat="1" applyBorder="1"/>
    <xf numFmtId="164" fontId="0" fillId="0" borderId="2" xfId="0" applyNumberFormat="1" applyBorder="1"/>
    <xf numFmtId="164" fontId="7" fillId="2" borderId="4" xfId="0" applyNumberFormat="1" applyFont="1" applyFill="1" applyBorder="1"/>
    <xf numFmtId="164" fontId="3" fillId="0" borderId="8" xfId="0" applyNumberFormat="1" applyFont="1" applyBorder="1"/>
    <xf numFmtId="164" fontId="3" fillId="0" borderId="1" xfId="0" applyNumberFormat="1" applyFont="1" applyBorder="1"/>
    <xf numFmtId="164" fontId="3" fillId="0" borderId="0" xfId="0" applyNumberFormat="1" applyFont="1"/>
    <xf numFmtId="10" fontId="0" fillId="0" borderId="8" xfId="2" applyNumberFormat="1" applyFont="1" applyBorder="1"/>
    <xf numFmtId="0" fontId="2" fillId="3" borderId="7" xfId="0" applyFont="1" applyFill="1" applyBorder="1" applyAlignment="1">
      <alignment horizontal="right"/>
    </xf>
    <xf numFmtId="0" fontId="2" fillId="3" borderId="8" xfId="0" applyFont="1" applyFill="1" applyBorder="1" applyAlignment="1">
      <alignment horizontal="right"/>
    </xf>
    <xf numFmtId="9" fontId="0" fillId="0" borderId="0" xfId="2" applyFont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0" fontId="2" fillId="3" borderId="11" xfId="0" applyFont="1" applyFill="1" applyBorder="1"/>
    <xf numFmtId="0" fontId="2" fillId="3" borderId="14" xfId="0" applyFont="1" applyFill="1" applyBorder="1"/>
    <xf numFmtId="0" fontId="2" fillId="3" borderId="17" xfId="0" applyFont="1" applyFill="1" applyBorder="1"/>
    <xf numFmtId="164" fontId="0" fillId="0" borderId="18" xfId="0" applyNumberFormat="1" applyBorder="1"/>
    <xf numFmtId="164" fontId="0" fillId="0" borderId="19" xfId="0" applyNumberFormat="1" applyBorder="1"/>
    <xf numFmtId="0" fontId="2" fillId="3" borderId="12" xfId="0" applyFont="1" applyFill="1" applyBorder="1"/>
    <xf numFmtId="0" fontId="2" fillId="3" borderId="13" xfId="0" applyFont="1" applyFill="1" applyBorder="1"/>
    <xf numFmtId="0" fontId="2" fillId="3" borderId="20" xfId="0" applyFont="1" applyFill="1" applyBorder="1"/>
    <xf numFmtId="164" fontId="0" fillId="0" borderId="21" xfId="0" applyNumberFormat="1" applyBorder="1"/>
    <xf numFmtId="0" fontId="9" fillId="0" borderId="0" xfId="0" applyFont="1"/>
    <xf numFmtId="9" fontId="0" fillId="0" borderId="0" xfId="0" applyNumberFormat="1"/>
    <xf numFmtId="0" fontId="3" fillId="0" borderId="0" xfId="0" applyFont="1"/>
    <xf numFmtId="41" fontId="0" fillId="0" borderId="11" xfId="3" applyFont="1" applyBorder="1"/>
    <xf numFmtId="41" fontId="0" fillId="0" borderId="12" xfId="3" applyFont="1" applyBorder="1"/>
    <xf numFmtId="41" fontId="0" fillId="0" borderId="13" xfId="3" applyFont="1" applyBorder="1"/>
    <xf numFmtId="41" fontId="0" fillId="0" borderId="20" xfId="3" applyFont="1" applyBorder="1"/>
    <xf numFmtId="41" fontId="0" fillId="0" borderId="0" xfId="3" applyFont="1" applyBorder="1"/>
    <xf numFmtId="41" fontId="0" fillId="0" borderId="21" xfId="3" applyFont="1" applyBorder="1"/>
    <xf numFmtId="41" fontId="0" fillId="0" borderId="14" xfId="3" applyFont="1" applyBorder="1"/>
    <xf numFmtId="41" fontId="0" fillId="0" borderId="15" xfId="3" applyFont="1" applyBorder="1"/>
    <xf numFmtId="41" fontId="0" fillId="0" borderId="16" xfId="3" applyFont="1" applyBorder="1"/>
    <xf numFmtId="0" fontId="3" fillId="0" borderId="17" xfId="0" applyFont="1" applyBorder="1"/>
    <xf numFmtId="164" fontId="3" fillId="0" borderId="22" xfId="0" applyNumberFormat="1" applyFont="1" applyBorder="1"/>
    <xf numFmtId="42" fontId="3" fillId="0" borderId="23" xfId="1" applyFont="1" applyBorder="1"/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0" xfId="0" applyBorder="1"/>
    <xf numFmtId="0" fontId="0" fillId="0" borderId="24" xfId="0" applyBorder="1"/>
    <xf numFmtId="0" fontId="0" fillId="0" borderId="14" xfId="0" applyBorder="1"/>
    <xf numFmtId="10" fontId="0" fillId="0" borderId="25" xfId="2" applyNumberFormat="1" applyFont="1" applyBorder="1"/>
  </cellXfs>
  <cellStyles count="4">
    <cellStyle name="Millares [0]" xfId="3" builtinId="6"/>
    <cellStyle name="Moneda [0]" xfId="1" builtinId="7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E502A-4210-41A6-B5AF-B01A3DFC0EB3}">
  <dimension ref="B1:H43"/>
  <sheetViews>
    <sheetView topLeftCell="A10" workbookViewId="0">
      <selection activeCell="F33" sqref="F33"/>
    </sheetView>
  </sheetViews>
  <sheetFormatPr baseColWidth="10" defaultRowHeight="14.6" x14ac:dyDescent="0.4"/>
  <cols>
    <col min="2" max="2" width="27" customWidth="1"/>
    <col min="3" max="3" width="18.69140625" bestFit="1" customWidth="1"/>
    <col min="4" max="4" width="12" bestFit="1" customWidth="1"/>
    <col min="5" max="5" width="23.921875" customWidth="1"/>
    <col min="6" max="6" width="13" bestFit="1" customWidth="1"/>
    <col min="7" max="7" width="36.3046875" customWidth="1"/>
    <col min="8" max="8" width="31.3046875" customWidth="1"/>
    <col min="9" max="9" width="23" customWidth="1"/>
    <col min="10" max="10" width="24.15234375" bestFit="1" customWidth="1"/>
    <col min="12" max="12" width="34.84375" bestFit="1" customWidth="1"/>
  </cols>
  <sheetData>
    <row r="1" spans="2:8" ht="15" thickBot="1" x14ac:dyDescent="0.45"/>
    <row r="2" spans="2:8" x14ac:dyDescent="0.4">
      <c r="D2" s="87" t="s">
        <v>105</v>
      </c>
      <c r="E2" s="88"/>
    </row>
    <row r="3" spans="2:8" ht="15" thickBot="1" x14ac:dyDescent="0.45">
      <c r="D3" s="89"/>
      <c r="E3" s="90"/>
    </row>
    <row r="6" spans="2:8" ht="15" thickBot="1" x14ac:dyDescent="0.45"/>
    <row r="7" spans="2:8" ht="30" x14ac:dyDescent="0.4"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6" t="s">
        <v>6</v>
      </c>
      <c r="H7" s="9"/>
    </row>
    <row r="8" spans="2:8" ht="15.45" x14ac:dyDescent="0.4">
      <c r="B8" s="14" t="s">
        <v>7</v>
      </c>
      <c r="C8" s="7">
        <v>4</v>
      </c>
      <c r="D8" s="7">
        <v>5</v>
      </c>
      <c r="E8" s="8">
        <v>25000</v>
      </c>
      <c r="F8" s="8">
        <v>5000</v>
      </c>
      <c r="G8" s="1">
        <v>0</v>
      </c>
      <c r="H8" s="7"/>
    </row>
    <row r="9" spans="2:8" ht="15.45" x14ac:dyDescent="0.4">
      <c r="B9" s="14" t="s">
        <v>8</v>
      </c>
      <c r="C9" s="7">
        <v>4</v>
      </c>
      <c r="D9" s="7">
        <v>5</v>
      </c>
      <c r="E9" s="8">
        <v>30000</v>
      </c>
      <c r="F9" s="8">
        <v>10000</v>
      </c>
      <c r="G9" s="1" t="s">
        <v>9</v>
      </c>
      <c r="H9" s="7"/>
    </row>
    <row r="10" spans="2:8" ht="15.45" x14ac:dyDescent="0.4">
      <c r="B10" s="14" t="s">
        <v>10</v>
      </c>
      <c r="C10" s="7">
        <v>1</v>
      </c>
      <c r="D10" s="7">
        <v>10</v>
      </c>
      <c r="E10" s="8">
        <v>160000</v>
      </c>
      <c r="F10" s="8">
        <v>80000</v>
      </c>
      <c r="G10" s="1" t="s">
        <v>11</v>
      </c>
      <c r="H10" s="7"/>
    </row>
    <row r="11" spans="2:8" ht="15.9" thickBot="1" x14ac:dyDescent="0.45">
      <c r="B11" s="15" t="s">
        <v>0</v>
      </c>
      <c r="C11" s="24">
        <v>1</v>
      </c>
      <c r="D11" s="3" t="s">
        <v>12</v>
      </c>
      <c r="E11" s="16">
        <v>300000</v>
      </c>
      <c r="F11" s="16">
        <f>1.2*E11</f>
        <v>360000</v>
      </c>
      <c r="G11" s="17" t="s">
        <v>15</v>
      </c>
      <c r="H11" s="10" t="s">
        <v>16</v>
      </c>
    </row>
    <row r="13" spans="2:8" ht="15" thickBot="1" x14ac:dyDescent="0.45"/>
    <row r="14" spans="2:8" ht="15.75" customHeight="1" x14ac:dyDescent="0.4">
      <c r="B14" s="13" t="s">
        <v>21</v>
      </c>
      <c r="C14" s="6" t="s">
        <v>27</v>
      </c>
    </row>
    <row r="15" spans="2:8" ht="15.45" x14ac:dyDescent="0.4">
      <c r="B15" s="14" t="s">
        <v>22</v>
      </c>
      <c r="C15" s="11">
        <v>80</v>
      </c>
    </row>
    <row r="16" spans="2:8" ht="15.45" x14ac:dyDescent="0.4">
      <c r="B16" s="14" t="s">
        <v>23</v>
      </c>
      <c r="C16" s="11">
        <v>20</v>
      </c>
    </row>
    <row r="17" spans="2:7" ht="15.45" x14ac:dyDescent="0.4">
      <c r="B17" s="14" t="s">
        <v>24</v>
      </c>
      <c r="C17" s="11">
        <v>40</v>
      </c>
    </row>
    <row r="18" spans="2:7" ht="15.45" x14ac:dyDescent="0.4">
      <c r="B18" s="14"/>
      <c r="C18" s="11"/>
    </row>
    <row r="19" spans="2:7" ht="15.45" x14ac:dyDescent="0.4">
      <c r="B19" s="14"/>
      <c r="C19" s="11"/>
    </row>
    <row r="20" spans="2:7" ht="15.45" x14ac:dyDescent="0.4">
      <c r="B20" s="14" t="s">
        <v>25</v>
      </c>
      <c r="C20" s="11">
        <v>150</v>
      </c>
      <c r="G20" s="7"/>
    </row>
    <row r="21" spans="2:7" ht="15.9" thickBot="1" x14ac:dyDescent="0.45">
      <c r="B21" s="15" t="s">
        <v>26</v>
      </c>
      <c r="C21" s="12">
        <v>290</v>
      </c>
    </row>
    <row r="22" spans="2:7" ht="15" thickBot="1" x14ac:dyDescent="0.45"/>
    <row r="23" spans="2:7" ht="15" x14ac:dyDescent="0.4">
      <c r="E23" s="4" t="s">
        <v>47</v>
      </c>
      <c r="F23" s="5" t="s">
        <v>48</v>
      </c>
      <c r="G23" s="6" t="s">
        <v>49</v>
      </c>
    </row>
    <row r="24" spans="2:7" x14ac:dyDescent="0.4">
      <c r="E24" s="2" t="s">
        <v>13</v>
      </c>
      <c r="F24" s="18">
        <v>21000</v>
      </c>
      <c r="G24" s="19" t="s">
        <v>14</v>
      </c>
    </row>
    <row r="25" spans="2:7" x14ac:dyDescent="0.4">
      <c r="E25" s="2" t="s">
        <v>46</v>
      </c>
      <c r="F25" s="18">
        <v>4200</v>
      </c>
      <c r="G25" s="19" t="s">
        <v>14</v>
      </c>
    </row>
    <row r="26" spans="2:7" x14ac:dyDescent="0.4">
      <c r="E26" s="2" t="s">
        <v>17</v>
      </c>
      <c r="F26" s="18">
        <v>1000</v>
      </c>
      <c r="G26" s="19" t="s">
        <v>18</v>
      </c>
    </row>
    <row r="27" spans="2:7" x14ac:dyDescent="0.4">
      <c r="E27" s="2" t="s">
        <v>19</v>
      </c>
      <c r="F27" s="20">
        <v>0.2</v>
      </c>
      <c r="G27" s="19" t="s">
        <v>20</v>
      </c>
    </row>
    <row r="28" spans="2:7" x14ac:dyDescent="0.4">
      <c r="E28" s="2" t="s">
        <v>28</v>
      </c>
      <c r="F28" s="18">
        <v>21000</v>
      </c>
      <c r="G28" s="19" t="s">
        <v>29</v>
      </c>
    </row>
    <row r="29" spans="2:7" x14ac:dyDescent="0.4">
      <c r="E29" s="2" t="s">
        <v>30</v>
      </c>
      <c r="F29" s="18">
        <v>1.75</v>
      </c>
      <c r="G29" s="19" t="s">
        <v>31</v>
      </c>
    </row>
    <row r="30" spans="2:7" x14ac:dyDescent="0.4">
      <c r="E30" s="2" t="s">
        <v>32</v>
      </c>
      <c r="F30" s="18">
        <v>35</v>
      </c>
      <c r="G30" s="19" t="s">
        <v>33</v>
      </c>
    </row>
    <row r="31" spans="2:7" x14ac:dyDescent="0.4">
      <c r="E31" s="2" t="s">
        <v>34</v>
      </c>
      <c r="F31" s="18">
        <v>35000</v>
      </c>
      <c r="G31" s="19" t="s">
        <v>35</v>
      </c>
    </row>
    <row r="32" spans="2:7" x14ac:dyDescent="0.4">
      <c r="E32" s="2" t="s">
        <v>36</v>
      </c>
      <c r="F32" s="18">
        <v>50000</v>
      </c>
      <c r="G32" s="19" t="s">
        <v>35</v>
      </c>
    </row>
    <row r="33" spans="5:7" x14ac:dyDescent="0.4">
      <c r="E33" s="2" t="s">
        <v>37</v>
      </c>
      <c r="F33" s="18">
        <v>6500</v>
      </c>
      <c r="G33" s="19" t="s">
        <v>38</v>
      </c>
    </row>
    <row r="34" spans="5:7" x14ac:dyDescent="0.4">
      <c r="E34" s="2" t="s">
        <v>98</v>
      </c>
      <c r="F34" s="39">
        <v>4.0000000000000001E-3</v>
      </c>
      <c r="G34" s="19" t="s">
        <v>35</v>
      </c>
    </row>
    <row r="35" spans="5:7" x14ac:dyDescent="0.4">
      <c r="E35" s="2" t="s">
        <v>96</v>
      </c>
      <c r="F35" s="38">
        <v>5</v>
      </c>
      <c r="G35" s="19" t="s">
        <v>97</v>
      </c>
    </row>
    <row r="36" spans="5:7" x14ac:dyDescent="0.4">
      <c r="E36" s="2" t="s">
        <v>95</v>
      </c>
      <c r="F36" s="20">
        <v>0.09</v>
      </c>
      <c r="G36" s="19" t="s">
        <v>39</v>
      </c>
    </row>
    <row r="37" spans="5:7" x14ac:dyDescent="0.4">
      <c r="E37" s="2" t="s">
        <v>109</v>
      </c>
      <c r="F37" s="18">
        <v>2</v>
      </c>
      <c r="G37" s="19"/>
    </row>
    <row r="38" spans="5:7" x14ac:dyDescent="0.4">
      <c r="E38" s="2" t="s">
        <v>40</v>
      </c>
      <c r="F38" s="18">
        <v>5</v>
      </c>
      <c r="G38" s="19"/>
    </row>
    <row r="39" spans="5:7" x14ac:dyDescent="0.4">
      <c r="E39" s="2" t="s">
        <v>41</v>
      </c>
      <c r="F39" s="18">
        <v>3</v>
      </c>
      <c r="G39" s="19"/>
    </row>
    <row r="40" spans="5:7" x14ac:dyDescent="0.4">
      <c r="E40" s="2" t="s">
        <v>42</v>
      </c>
      <c r="F40" s="20">
        <v>0.15</v>
      </c>
      <c r="G40" s="19"/>
    </row>
    <row r="41" spans="5:7" x14ac:dyDescent="0.4">
      <c r="E41" s="2" t="s">
        <v>43</v>
      </c>
      <c r="F41" s="18">
        <v>1.2</v>
      </c>
      <c r="G41" s="19"/>
    </row>
    <row r="42" spans="5:7" x14ac:dyDescent="0.4">
      <c r="E42" s="2" t="s">
        <v>44</v>
      </c>
      <c r="F42" s="20">
        <v>0.06</v>
      </c>
      <c r="G42" s="19"/>
    </row>
    <row r="43" spans="5:7" ht="15" thickBot="1" x14ac:dyDescent="0.45">
      <c r="E43" s="21" t="s">
        <v>45</v>
      </c>
      <c r="F43" s="22">
        <v>0.15</v>
      </c>
      <c r="G43" s="23"/>
    </row>
  </sheetData>
  <mergeCells count="1">
    <mergeCell ref="D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77952F-2B23-4D80-A17E-007B56A652EF}">
  <dimension ref="B1:O18"/>
  <sheetViews>
    <sheetView workbookViewId="0">
      <selection activeCell="B22" sqref="B22"/>
    </sheetView>
  </sheetViews>
  <sheetFormatPr baseColWidth="10" defaultRowHeight="14.6" x14ac:dyDescent="0.4"/>
  <cols>
    <col min="2" max="2" width="33.3828125" bestFit="1" customWidth="1"/>
    <col min="3" max="3" width="26.84375" customWidth="1"/>
  </cols>
  <sheetData>
    <row r="1" spans="2:15" ht="15" thickBot="1" x14ac:dyDescent="0.45"/>
    <row r="2" spans="2:15" x14ac:dyDescent="0.4">
      <c r="D2" s="87" t="s">
        <v>104</v>
      </c>
      <c r="E2" s="91"/>
      <c r="F2" s="91"/>
      <c r="G2" s="88"/>
    </row>
    <row r="3" spans="2:15" ht="15" thickBot="1" x14ac:dyDescent="0.45">
      <c r="D3" s="89"/>
      <c r="E3" s="92"/>
      <c r="F3" s="92"/>
      <c r="G3" s="90"/>
    </row>
    <row r="6" spans="2:15" x14ac:dyDescent="0.4">
      <c r="D6" s="26">
        <v>1</v>
      </c>
      <c r="E6" s="26">
        <v>2</v>
      </c>
      <c r="F6" s="26">
        <v>3</v>
      </c>
      <c r="G6" s="26">
        <v>4</v>
      </c>
      <c r="H6" s="26">
        <v>5</v>
      </c>
      <c r="I6" s="26">
        <v>6</v>
      </c>
      <c r="J6" s="26">
        <v>7</v>
      </c>
      <c r="K6" s="26">
        <v>8</v>
      </c>
      <c r="L6" s="26">
        <v>9</v>
      </c>
      <c r="M6" s="26">
        <v>10</v>
      </c>
      <c r="N6" s="26">
        <v>11</v>
      </c>
      <c r="O6" s="26">
        <v>12</v>
      </c>
    </row>
    <row r="7" spans="2:15" x14ac:dyDescent="0.4">
      <c r="B7" s="27" t="s">
        <v>50</v>
      </c>
      <c r="C7" s="25" t="s">
        <v>63</v>
      </c>
      <c r="D7" s="25" t="s">
        <v>51</v>
      </c>
      <c r="E7" s="25" t="s">
        <v>52</v>
      </c>
      <c r="F7" s="25" t="s">
        <v>53</v>
      </c>
      <c r="G7" s="25" t="s">
        <v>54</v>
      </c>
      <c r="H7" s="25" t="s">
        <v>55</v>
      </c>
      <c r="I7" s="25" t="s">
        <v>56</v>
      </c>
      <c r="J7" s="25" t="s">
        <v>57</v>
      </c>
      <c r="K7" s="25" t="s">
        <v>58</v>
      </c>
      <c r="L7" s="25" t="s">
        <v>59</v>
      </c>
      <c r="M7" s="25" t="s">
        <v>60</v>
      </c>
      <c r="N7" s="25" t="s">
        <v>61</v>
      </c>
      <c r="O7" s="25" t="s">
        <v>62</v>
      </c>
    </row>
    <row r="8" spans="2:15" x14ac:dyDescent="0.4"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7"/>
    </row>
    <row r="9" spans="2:15" x14ac:dyDescent="0.4">
      <c r="B9" s="98" t="s">
        <v>7</v>
      </c>
      <c r="C9" s="47">
        <f>-Datos!C8*Datos!E8</f>
        <v>-100000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71"/>
    </row>
    <row r="10" spans="2:15" x14ac:dyDescent="0.4">
      <c r="B10" s="98" t="s">
        <v>8</v>
      </c>
      <c r="C10" s="47"/>
      <c r="D10" s="47"/>
      <c r="E10" s="47"/>
      <c r="F10" s="47"/>
      <c r="G10" s="47"/>
      <c r="H10" s="47"/>
      <c r="I10" s="47">
        <f>-Datos!C9*Datos!E9</f>
        <v>-120000</v>
      </c>
      <c r="J10" s="47"/>
      <c r="K10" s="47"/>
      <c r="L10" s="47"/>
      <c r="M10" s="47"/>
      <c r="N10" s="47"/>
      <c r="O10" s="71"/>
    </row>
    <row r="11" spans="2:15" x14ac:dyDescent="0.4">
      <c r="B11" s="98" t="s">
        <v>10</v>
      </c>
      <c r="C11" s="47"/>
      <c r="D11" s="47"/>
      <c r="E11" s="47"/>
      <c r="F11" s="47">
        <f>-Datos!E10*Datos!C10</f>
        <v>-160000</v>
      </c>
      <c r="G11" s="47"/>
      <c r="H11" s="47"/>
      <c r="I11" s="47"/>
      <c r="J11" s="47"/>
      <c r="K11" s="47"/>
      <c r="L11" s="47"/>
      <c r="M11" s="47"/>
      <c r="N11" s="47"/>
      <c r="O11" s="71"/>
    </row>
    <row r="12" spans="2:15" ht="15" thickBot="1" x14ac:dyDescent="0.45">
      <c r="B12" s="98" t="s">
        <v>0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71">
        <f>-Datos!C11*Datos!E11</f>
        <v>-300000</v>
      </c>
    </row>
    <row r="13" spans="2:15" x14ac:dyDescent="0.4">
      <c r="B13" s="99" t="s">
        <v>64</v>
      </c>
      <c r="C13" s="53">
        <f>Datos!F42+Datos!F41*(Datos!F40-Datos!F42)</f>
        <v>0.16799999999999998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71"/>
    </row>
    <row r="14" spans="2:15" x14ac:dyDescent="0.4">
      <c r="B14" s="100" t="s">
        <v>121</v>
      </c>
      <c r="C14" s="101">
        <f>((1+C13)^(1/12)) -1</f>
        <v>1.3025171776336331E-2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</row>
    <row r="15" spans="2:15" x14ac:dyDescent="0.4"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2:15" x14ac:dyDescent="0.4">
      <c r="B16" t="s">
        <v>120</v>
      </c>
      <c r="C16" s="52">
        <f>F11*(1+$C$14)^F6+ I10*(1+$C$14)^I6 +O12*(1+$C$14)^O6+C9</f>
        <v>-746422.72889305814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</row>
    <row r="17" spans="2:15" x14ac:dyDescent="0.4">
      <c r="B17" t="s">
        <v>65</v>
      </c>
      <c r="C17" s="52">
        <f>C9+F11+I10+O12</f>
        <v>-680000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2:15" x14ac:dyDescent="0.4">
      <c r="B18" t="s">
        <v>66</v>
      </c>
      <c r="C18" s="52">
        <f>C16-C17</f>
        <v>-66422.728893058142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</row>
  </sheetData>
  <mergeCells count="1">
    <mergeCell ref="D2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2336A-119F-4584-990D-F717728861FB}">
  <dimension ref="B2:O87"/>
  <sheetViews>
    <sheetView tabSelected="1" topLeftCell="A49" zoomScale="90" zoomScaleNormal="90" workbookViewId="0">
      <selection activeCell="G75" sqref="G75"/>
    </sheetView>
  </sheetViews>
  <sheetFormatPr baseColWidth="10" defaultRowHeight="14.6" x14ac:dyDescent="0.4"/>
  <cols>
    <col min="2" max="2" width="28.69140625" bestFit="1" customWidth="1"/>
    <col min="3" max="3" width="11.84375" bestFit="1" customWidth="1"/>
    <col min="4" max="8" width="12.84375" bestFit="1" customWidth="1"/>
    <col min="11" max="11" width="20" bestFit="1" customWidth="1"/>
    <col min="12" max="13" width="11.84375" bestFit="1" customWidth="1"/>
    <col min="15" max="15" width="11.4609375" bestFit="1" customWidth="1"/>
  </cols>
  <sheetData>
    <row r="2" spans="2:13" ht="15" thickBot="1" x14ac:dyDescent="0.45"/>
    <row r="3" spans="2:13" x14ac:dyDescent="0.4">
      <c r="D3" s="87" t="s">
        <v>106</v>
      </c>
      <c r="E3" s="91"/>
      <c r="F3" s="88"/>
    </row>
    <row r="4" spans="2:13" ht="15" thickBot="1" x14ac:dyDescent="0.45">
      <c r="D4" s="89"/>
      <c r="E4" s="92"/>
      <c r="F4" s="90"/>
    </row>
    <row r="9" spans="2:13" ht="15" thickBot="1" x14ac:dyDescent="0.45"/>
    <row r="10" spans="2:13" x14ac:dyDescent="0.4">
      <c r="C10" s="28"/>
      <c r="D10" s="54" t="s">
        <v>67</v>
      </c>
      <c r="E10" s="54" t="s">
        <v>68</v>
      </c>
      <c r="F10" s="54" t="s">
        <v>69</v>
      </c>
      <c r="G10" s="54" t="s">
        <v>70</v>
      </c>
      <c r="H10" s="55" t="s">
        <v>71</v>
      </c>
    </row>
    <row r="11" spans="2:13" x14ac:dyDescent="0.4">
      <c r="C11" s="2" t="s">
        <v>46</v>
      </c>
      <c r="D11" s="31">
        <f>Datos!F25</f>
        <v>4200</v>
      </c>
      <c r="E11" s="31">
        <f>D11</f>
        <v>4200</v>
      </c>
      <c r="F11" s="31">
        <f t="shared" ref="F11:H11" si="0">E11</f>
        <v>4200</v>
      </c>
      <c r="G11" s="31">
        <f t="shared" si="0"/>
        <v>4200</v>
      </c>
      <c r="H11" s="32">
        <f t="shared" si="0"/>
        <v>4200</v>
      </c>
    </row>
    <row r="12" spans="2:13" ht="15" thickBot="1" x14ac:dyDescent="0.45">
      <c r="C12" s="21" t="s">
        <v>72</v>
      </c>
      <c r="D12" s="33">
        <f>Datos!F26</f>
        <v>1000</v>
      </c>
      <c r="E12" s="33">
        <f>D12</f>
        <v>1000</v>
      </c>
      <c r="F12" s="33">
        <f>E12</f>
        <v>1000</v>
      </c>
      <c r="G12" s="33">
        <f>F12*(1+Datos!F27)</f>
        <v>1200</v>
      </c>
      <c r="H12" s="34">
        <f>G12</f>
        <v>1200</v>
      </c>
    </row>
    <row r="14" spans="2:13" ht="15" thickBot="1" x14ac:dyDescent="0.45"/>
    <row r="15" spans="2:13" ht="15" thickBot="1" x14ac:dyDescent="0.45">
      <c r="B15" s="29"/>
      <c r="C15" s="54" t="s">
        <v>73</v>
      </c>
      <c r="D15" s="54" t="s">
        <v>67</v>
      </c>
      <c r="E15" s="54" t="s">
        <v>68</v>
      </c>
      <c r="F15" s="54" t="s">
        <v>69</v>
      </c>
      <c r="G15" s="54" t="s">
        <v>70</v>
      </c>
      <c r="H15" s="55" t="s">
        <v>71</v>
      </c>
      <c r="L15" s="93" t="s">
        <v>90</v>
      </c>
      <c r="M15" s="94"/>
    </row>
    <row r="17" spans="2:15" x14ac:dyDescent="0.4">
      <c r="B17" s="44" t="s">
        <v>74</v>
      </c>
      <c r="C17" s="44"/>
      <c r="D17" s="44">
        <f>D11*D12</f>
        <v>4200000</v>
      </c>
      <c r="E17" s="44">
        <f>E11*E12</f>
        <v>4200000</v>
      </c>
      <c r="F17" s="44">
        <f>F11*F12</f>
        <v>4200000</v>
      </c>
      <c r="G17" s="44">
        <f>G11*G12</f>
        <v>5040000</v>
      </c>
      <c r="H17" s="44">
        <f>H11*H12</f>
        <v>5040000</v>
      </c>
      <c r="K17" s="63"/>
      <c r="L17" s="68" t="s">
        <v>7</v>
      </c>
      <c r="M17" s="68" t="s">
        <v>8</v>
      </c>
      <c r="N17" s="68" t="s">
        <v>10</v>
      </c>
      <c r="O17" s="69" t="s">
        <v>0</v>
      </c>
    </row>
    <row r="18" spans="2:15" x14ac:dyDescent="0.4">
      <c r="B18" s="44" t="str">
        <f>Datos!B15</f>
        <v>Mano obra directa</v>
      </c>
      <c r="C18" s="44"/>
      <c r="D18" s="44">
        <f>-D$11*Datos!$C15</f>
        <v>-336000</v>
      </c>
      <c r="E18" s="44">
        <f>-E$11*Datos!$C15</f>
        <v>-336000</v>
      </c>
      <c r="F18" s="44">
        <f>-F$11*Datos!$C15</f>
        <v>-336000</v>
      </c>
      <c r="G18" s="44">
        <f>-G$11*Datos!$C15</f>
        <v>-336000</v>
      </c>
      <c r="H18" s="44">
        <f>-H$11*Datos!$C15</f>
        <v>-336000</v>
      </c>
      <c r="K18" s="70" t="s">
        <v>85</v>
      </c>
      <c r="L18" s="47">
        <f>Datos!F8*Datos!C8</f>
        <v>20000</v>
      </c>
      <c r="M18" s="47">
        <f>Datos!C9*Datos!F9</f>
        <v>40000</v>
      </c>
      <c r="N18" s="47">
        <f>Datos!F10*Datos!C10</f>
        <v>80000</v>
      </c>
      <c r="O18" s="71">
        <f>Datos!F11</f>
        <v>360000</v>
      </c>
    </row>
    <row r="19" spans="2:15" x14ac:dyDescent="0.4">
      <c r="B19" s="44" t="str">
        <f>Datos!B16</f>
        <v>Energía</v>
      </c>
      <c r="C19" s="44"/>
      <c r="D19" s="44">
        <f>-D$11*Datos!$C16</f>
        <v>-84000</v>
      </c>
      <c r="E19" s="44">
        <f>-E$11*Datos!$C16</f>
        <v>-84000</v>
      </c>
      <c r="F19" s="44">
        <f>-F$11*Datos!$C16</f>
        <v>-84000</v>
      </c>
      <c r="G19" s="44">
        <f>-G$11*Datos!$C16</f>
        <v>-84000</v>
      </c>
      <c r="H19" s="44">
        <f>-H$11*Datos!$C16</f>
        <v>-84000</v>
      </c>
      <c r="K19" s="70" t="s">
        <v>86</v>
      </c>
      <c r="L19" s="47">
        <f>-(-C49-SUM(D42:H42))</f>
        <v>0</v>
      </c>
      <c r="M19" s="47">
        <f>-(-C50-SUM(D43:H43))</f>
        <v>0</v>
      </c>
      <c r="N19" s="47">
        <f>-(-C51-SUM(D44:H44))</f>
        <v>-80000</v>
      </c>
      <c r="O19" s="71">
        <f>C52</f>
        <v>-300000</v>
      </c>
    </row>
    <row r="20" spans="2:15" x14ac:dyDescent="0.4">
      <c r="B20" s="44" t="str">
        <f>Datos!B17</f>
        <v>Extracción</v>
      </c>
      <c r="C20" s="44"/>
      <c r="D20" s="44">
        <f>-D$11*Datos!$C17</f>
        <v>-168000</v>
      </c>
      <c r="E20" s="44">
        <f>-E$11*Datos!$C17</f>
        <v>-168000</v>
      </c>
      <c r="F20" s="44">
        <f>-F$11*Datos!$C17</f>
        <v>-168000</v>
      </c>
      <c r="G20" s="44">
        <f>-G$11*Datos!$C17</f>
        <v>-168000</v>
      </c>
      <c r="H20" s="44">
        <f>-H$11*Datos!$C17</f>
        <v>-168000</v>
      </c>
      <c r="K20" s="63" t="s">
        <v>87</v>
      </c>
      <c r="L20" s="58">
        <f>L18+L19</f>
        <v>20000</v>
      </c>
      <c r="M20" s="58">
        <f t="shared" ref="M20:O20" si="1">M18+M19</f>
        <v>40000</v>
      </c>
      <c r="N20" s="58">
        <f t="shared" si="1"/>
        <v>0</v>
      </c>
      <c r="O20" s="59">
        <f t="shared" si="1"/>
        <v>60000</v>
      </c>
    </row>
    <row r="21" spans="2:15" x14ac:dyDescent="0.4">
      <c r="B21" s="44" t="str">
        <f>Datos!B20</f>
        <v>Costo procesamiento</v>
      </c>
      <c r="C21" s="44"/>
      <c r="D21" s="44">
        <f>-D$11*Datos!$C20</f>
        <v>-630000</v>
      </c>
      <c r="E21" s="44">
        <f>-E$11*Datos!$C20</f>
        <v>-630000</v>
      </c>
      <c r="F21" s="44">
        <f>-F$11*Datos!$C20</f>
        <v>-630000</v>
      </c>
      <c r="G21" s="44">
        <f>-G$11*Datos!$C20</f>
        <v>-630000</v>
      </c>
      <c r="H21" s="44">
        <f>-H$11*Datos!$C20</f>
        <v>-630000</v>
      </c>
      <c r="K21" s="64" t="s">
        <v>80</v>
      </c>
      <c r="L21" s="61">
        <f>-L20*Datos!$F$40</f>
        <v>-3000</v>
      </c>
      <c r="M21" s="61">
        <f>-M20*Datos!$F$40</f>
        <v>-6000</v>
      </c>
      <c r="N21" s="61">
        <f>-N20*Datos!$F$40</f>
        <v>0</v>
      </c>
      <c r="O21" s="62">
        <f>-O20*Datos!$F$40</f>
        <v>-9000</v>
      </c>
    </row>
    <row r="22" spans="2:15" x14ac:dyDescent="0.4">
      <c r="B22" s="44"/>
      <c r="C22" s="44"/>
      <c r="D22" s="44"/>
      <c r="E22" s="44"/>
      <c r="F22" s="44"/>
      <c r="G22" s="44"/>
      <c r="H22" s="44"/>
      <c r="K22" s="70" t="s">
        <v>88</v>
      </c>
      <c r="L22" s="47">
        <f>L20+L21</f>
        <v>17000</v>
      </c>
      <c r="M22" s="47">
        <f t="shared" ref="M22:O22" si="2">M20+M21</f>
        <v>34000</v>
      </c>
      <c r="N22" s="47">
        <f t="shared" si="2"/>
        <v>0</v>
      </c>
      <c r="O22" s="71">
        <f t="shared" si="2"/>
        <v>51000</v>
      </c>
    </row>
    <row r="23" spans="2:15" x14ac:dyDescent="0.4">
      <c r="B23" s="45" t="s">
        <v>75</v>
      </c>
      <c r="C23" s="45"/>
      <c r="D23" s="45">
        <f>SUM(D17:D21)</f>
        <v>2982000</v>
      </c>
      <c r="E23" s="45">
        <f t="shared" ref="E23:H23" si="3">SUM(E17:E21)</f>
        <v>2982000</v>
      </c>
      <c r="F23" s="45">
        <f t="shared" si="3"/>
        <v>2982000</v>
      </c>
      <c r="G23" s="45">
        <f t="shared" si="3"/>
        <v>3822000</v>
      </c>
      <c r="H23" s="45">
        <f t="shared" si="3"/>
        <v>3822000</v>
      </c>
      <c r="K23" s="70" t="s">
        <v>86</v>
      </c>
      <c r="L23" s="47">
        <f>-L19</f>
        <v>0</v>
      </c>
      <c r="M23" s="47">
        <f t="shared" ref="M23:O23" si="4">-M19</f>
        <v>0</v>
      </c>
      <c r="N23" s="47">
        <f t="shared" si="4"/>
        <v>80000</v>
      </c>
      <c r="O23" s="71">
        <f t="shared" si="4"/>
        <v>300000</v>
      </c>
    </row>
    <row r="24" spans="2:15" x14ac:dyDescent="0.4">
      <c r="B24" s="44"/>
      <c r="C24" s="44"/>
      <c r="D24" s="56">
        <f>D23/D17</f>
        <v>0.71</v>
      </c>
      <c r="E24" s="56">
        <f t="shared" ref="E24:H24" si="5">E23/E17</f>
        <v>0.71</v>
      </c>
      <c r="F24" s="56">
        <f t="shared" si="5"/>
        <v>0.71</v>
      </c>
      <c r="G24" s="56">
        <f t="shared" si="5"/>
        <v>0.7583333333333333</v>
      </c>
      <c r="H24" s="56">
        <f t="shared" si="5"/>
        <v>0.7583333333333333</v>
      </c>
      <c r="I24" s="56"/>
      <c r="K24" s="65" t="s">
        <v>89</v>
      </c>
      <c r="L24" s="66">
        <f>L23+L22</f>
        <v>17000</v>
      </c>
      <c r="M24" s="66">
        <f t="shared" ref="M24:O24" si="6">M23+M22</f>
        <v>34000</v>
      </c>
      <c r="N24" s="66">
        <f t="shared" si="6"/>
        <v>80000</v>
      </c>
      <c r="O24" s="67">
        <f t="shared" si="6"/>
        <v>351000</v>
      </c>
    </row>
    <row r="25" spans="2:15" ht="15" thickBot="1" x14ac:dyDescent="0.45">
      <c r="B25" s="44"/>
      <c r="C25" s="44"/>
      <c r="D25" s="46"/>
      <c r="E25" s="46"/>
      <c r="F25" s="46"/>
      <c r="G25" s="46"/>
      <c r="H25" s="46"/>
    </row>
    <row r="26" spans="2:15" x14ac:dyDescent="0.4">
      <c r="B26" s="44" t="s">
        <v>76</v>
      </c>
      <c r="C26" s="44"/>
      <c r="D26" s="44">
        <f>-Datos!$F$28*Datos!$F$29</f>
        <v>-36750</v>
      </c>
      <c r="E26" s="44">
        <f>-Datos!$F$28*Datos!$F$29</f>
        <v>-36750</v>
      </c>
      <c r="F26" s="44">
        <f>-Datos!$F$28*Datos!$F$29</f>
        <v>-36750</v>
      </c>
      <c r="G26" s="44">
        <f>-Datos!$F$28*Datos!$F$29</f>
        <v>-36750</v>
      </c>
      <c r="H26" s="44">
        <f>-Datos!$F$28*Datos!$F$29</f>
        <v>-36750</v>
      </c>
      <c r="K26" s="35" t="s">
        <v>99</v>
      </c>
      <c r="L26" s="30"/>
    </row>
    <row r="27" spans="2:15" x14ac:dyDescent="0.4">
      <c r="B27" s="44" t="s">
        <v>108</v>
      </c>
      <c r="C27" s="44"/>
      <c r="D27" s="44">
        <f>-Datos!$F$31*12</f>
        <v>-420000</v>
      </c>
      <c r="E27" s="44">
        <f>-Datos!$F$31*12</f>
        <v>-420000</v>
      </c>
      <c r="F27" s="44">
        <f>-Datos!$F$31*12</f>
        <v>-420000</v>
      </c>
      <c r="G27" s="44">
        <f>-Datos!$F$31*12</f>
        <v>-420000</v>
      </c>
      <c r="H27" s="44">
        <f>-Datos!$F$31*12</f>
        <v>-420000</v>
      </c>
      <c r="K27" s="36" t="s">
        <v>94</v>
      </c>
      <c r="L27" s="48">
        <f>FV(Datos!F34,Datos!F35*12,-Datos!F33,,0)</f>
        <v>439791.16790230694</v>
      </c>
    </row>
    <row r="28" spans="2:15" ht="15" thickBot="1" x14ac:dyDescent="0.45">
      <c r="B28" s="44" t="s">
        <v>77</v>
      </c>
      <c r="C28" s="44"/>
      <c r="D28" s="44">
        <f>-Datos!$F$32*12</f>
        <v>-600000</v>
      </c>
      <c r="E28" s="44">
        <f>-Datos!$F$32*12</f>
        <v>-600000</v>
      </c>
      <c r="F28" s="44">
        <f>-Datos!$F$32*12</f>
        <v>-600000</v>
      </c>
      <c r="G28" s="44">
        <f>-Datos!$F$32*12</f>
        <v>-600000</v>
      </c>
      <c r="H28" s="44">
        <f>-Datos!$F$32*12</f>
        <v>-600000</v>
      </c>
      <c r="K28" s="37" t="s">
        <v>107</v>
      </c>
      <c r="L28" s="49">
        <f>-(C56-C53+L27)</f>
        <v>429771.33209769306</v>
      </c>
    </row>
    <row r="29" spans="2:15" x14ac:dyDescent="0.4">
      <c r="B29" s="44"/>
      <c r="C29" s="44"/>
      <c r="D29" s="44"/>
      <c r="E29" s="44"/>
      <c r="F29" s="44"/>
      <c r="G29" s="44"/>
      <c r="H29" s="44"/>
    </row>
    <row r="30" spans="2:15" x14ac:dyDescent="0.4">
      <c r="B30" s="45" t="s">
        <v>78</v>
      </c>
      <c r="C30" s="45"/>
      <c r="D30" s="45">
        <f>D23+SUM(D26:D28)</f>
        <v>1925250</v>
      </c>
      <c r="E30" s="45">
        <f t="shared" ref="E30:H30" si="7">E23+SUM(E26:E28)</f>
        <v>1925250</v>
      </c>
      <c r="F30" s="45">
        <f t="shared" si="7"/>
        <v>1925250</v>
      </c>
      <c r="G30" s="45">
        <f t="shared" si="7"/>
        <v>2765250</v>
      </c>
      <c r="H30" s="45">
        <f t="shared" si="7"/>
        <v>2765250</v>
      </c>
    </row>
    <row r="31" spans="2:15" x14ac:dyDescent="0.4">
      <c r="B31" s="44"/>
      <c r="C31" s="44"/>
      <c r="D31" s="56">
        <f>D30/D17</f>
        <v>0.45839285714285716</v>
      </c>
      <c r="E31" s="56">
        <f t="shared" ref="E31:H31" si="8">E30/E17</f>
        <v>0.45839285714285716</v>
      </c>
      <c r="F31" s="56">
        <f t="shared" si="8"/>
        <v>0.45839285714285716</v>
      </c>
      <c r="G31" s="56">
        <f t="shared" si="8"/>
        <v>0.54866071428571428</v>
      </c>
      <c r="H31" s="56">
        <f t="shared" si="8"/>
        <v>0.54866071428571428</v>
      </c>
    </row>
    <row r="32" spans="2:15" x14ac:dyDescent="0.4">
      <c r="B32" s="44" t="s">
        <v>82</v>
      </c>
      <c r="C32" s="44"/>
      <c r="D32" s="44"/>
      <c r="E32" s="44"/>
      <c r="F32" s="44"/>
      <c r="G32" s="44"/>
      <c r="H32" s="44"/>
    </row>
    <row r="33" spans="2:8" x14ac:dyDescent="0.4">
      <c r="B33" s="44" t="str">
        <f>Datos!B8</f>
        <v>Dinosaurios</v>
      </c>
      <c r="C33" s="44"/>
      <c r="D33" s="44">
        <f>-(Datos!E8*Datos!C8)/Datos!D8</f>
        <v>-20000</v>
      </c>
      <c r="E33" s="44">
        <f>D33</f>
        <v>-20000</v>
      </c>
      <c r="F33" s="44">
        <f t="shared" ref="F33:H33" si="9">E33</f>
        <v>-20000</v>
      </c>
      <c r="G33" s="44">
        <f t="shared" si="9"/>
        <v>-20000</v>
      </c>
      <c r="H33" s="44">
        <f t="shared" si="9"/>
        <v>-20000</v>
      </c>
    </row>
    <row r="34" spans="2:8" x14ac:dyDescent="0.4">
      <c r="B34" s="44" t="str">
        <f>Datos!B9</f>
        <v>Camiones</v>
      </c>
      <c r="C34" s="44"/>
      <c r="D34" s="44">
        <f>-(Datos!$E$9*Datos!$C$9)/Datos!D9</f>
        <v>-24000</v>
      </c>
      <c r="E34" s="44">
        <f>D34</f>
        <v>-24000</v>
      </c>
      <c r="F34" s="44">
        <f t="shared" ref="F34:H34" si="10">E34</f>
        <v>-24000</v>
      </c>
      <c r="G34" s="44">
        <f t="shared" si="10"/>
        <v>-24000</v>
      </c>
      <c r="H34" s="44">
        <f t="shared" si="10"/>
        <v>-24000</v>
      </c>
    </row>
    <row r="35" spans="2:8" x14ac:dyDescent="0.4">
      <c r="B35" s="44" t="str">
        <f>Datos!B10</f>
        <v>Procesadora</v>
      </c>
      <c r="C35" s="44"/>
      <c r="D35" s="44">
        <f>-(Datos!E10*Datos!C10)/Datos!D10</f>
        <v>-16000</v>
      </c>
      <c r="E35" s="44">
        <f>D35</f>
        <v>-16000</v>
      </c>
      <c r="F35" s="44">
        <f t="shared" ref="F35:H35" si="11">E35</f>
        <v>-16000</v>
      </c>
      <c r="G35" s="44">
        <f t="shared" si="11"/>
        <v>-16000</v>
      </c>
      <c r="H35" s="44">
        <f t="shared" si="11"/>
        <v>-16000</v>
      </c>
    </row>
    <row r="36" spans="2:8" x14ac:dyDescent="0.4">
      <c r="B36" s="44"/>
      <c r="C36" s="44"/>
      <c r="D36" s="44"/>
      <c r="E36" s="44"/>
      <c r="F36" s="44"/>
      <c r="G36" s="44"/>
      <c r="H36" s="44"/>
    </row>
    <row r="37" spans="2:8" x14ac:dyDescent="0.4">
      <c r="B37" s="57" t="s">
        <v>79</v>
      </c>
      <c r="C37" s="58"/>
      <c r="D37" s="58">
        <f>D30+SUM(D33:D35)</f>
        <v>1865250</v>
      </c>
      <c r="E37" s="58">
        <f t="shared" ref="E37:H37" si="12">E30+SUM(E33:E35)</f>
        <v>1865250</v>
      </c>
      <c r="F37" s="58">
        <f t="shared" si="12"/>
        <v>1865250</v>
      </c>
      <c r="G37" s="58">
        <f t="shared" si="12"/>
        <v>2705250</v>
      </c>
      <c r="H37" s="59">
        <f t="shared" si="12"/>
        <v>2705250</v>
      </c>
    </row>
    <row r="38" spans="2:8" x14ac:dyDescent="0.4">
      <c r="B38" s="60" t="s">
        <v>80</v>
      </c>
      <c r="C38" s="61"/>
      <c r="D38" s="61">
        <f>-Datos!$F$43*Flujo!D37</f>
        <v>-279787.5</v>
      </c>
      <c r="E38" s="61">
        <f>-Datos!$F$43*Flujo!E37</f>
        <v>-279787.5</v>
      </c>
      <c r="F38" s="61">
        <f>-Datos!$F$43*Flujo!F37</f>
        <v>-279787.5</v>
      </c>
      <c r="G38" s="61">
        <f>-Datos!$F$43*Flujo!G37</f>
        <v>-405787.5</v>
      </c>
      <c r="H38" s="62">
        <f>-Datos!$F$43*Flujo!H37</f>
        <v>-405787.5</v>
      </c>
    </row>
    <row r="39" spans="2:8" x14ac:dyDescent="0.4">
      <c r="B39" s="44" t="s">
        <v>81</v>
      </c>
      <c r="C39" s="44"/>
      <c r="D39" s="44">
        <f>SUM(D37:D38)</f>
        <v>1585462.5</v>
      </c>
      <c r="E39" s="44">
        <f t="shared" ref="E39:H39" si="13">SUM(E37:E38)</f>
        <v>1585462.5</v>
      </c>
      <c r="F39" s="44">
        <f t="shared" si="13"/>
        <v>1585462.5</v>
      </c>
      <c r="G39" s="44">
        <f t="shared" si="13"/>
        <v>2299462.5</v>
      </c>
      <c r="H39" s="44">
        <f t="shared" si="13"/>
        <v>2299462.5</v>
      </c>
    </row>
    <row r="40" spans="2:8" x14ac:dyDescent="0.4">
      <c r="B40" s="44"/>
      <c r="C40" s="44"/>
      <c r="D40" s="44"/>
      <c r="E40" s="44"/>
      <c r="F40" s="44"/>
      <c r="G40" s="44"/>
      <c r="H40" s="44"/>
    </row>
    <row r="41" spans="2:8" x14ac:dyDescent="0.4">
      <c r="B41" s="44" t="s">
        <v>82</v>
      </c>
      <c r="C41" s="44"/>
      <c r="D41" s="44"/>
      <c r="E41" s="44"/>
      <c r="F41" s="44"/>
      <c r="G41" s="44"/>
      <c r="H41" s="44"/>
    </row>
    <row r="42" spans="2:8" x14ac:dyDescent="0.4">
      <c r="B42" s="44" t="str">
        <f>B33</f>
        <v>Dinosaurios</v>
      </c>
      <c r="C42" s="44"/>
      <c r="D42" s="44">
        <f>-D33</f>
        <v>20000</v>
      </c>
      <c r="E42" s="44">
        <f t="shared" ref="E42:H42" si="14">-E33</f>
        <v>20000</v>
      </c>
      <c r="F42" s="44">
        <f t="shared" si="14"/>
        <v>20000</v>
      </c>
      <c r="G42" s="44">
        <f t="shared" si="14"/>
        <v>20000</v>
      </c>
      <c r="H42" s="44">
        <f t="shared" si="14"/>
        <v>20000</v>
      </c>
    </row>
    <row r="43" spans="2:8" x14ac:dyDescent="0.4">
      <c r="B43" s="44" t="str">
        <f t="shared" ref="B43:B44" si="15">B34</f>
        <v>Camiones</v>
      </c>
      <c r="C43" s="44"/>
      <c r="D43" s="44">
        <f t="shared" ref="D43:H43" si="16">-D34</f>
        <v>24000</v>
      </c>
      <c r="E43" s="44">
        <f t="shared" si="16"/>
        <v>24000</v>
      </c>
      <c r="F43" s="44">
        <f t="shared" si="16"/>
        <v>24000</v>
      </c>
      <c r="G43" s="44">
        <f t="shared" si="16"/>
        <v>24000</v>
      </c>
      <c r="H43" s="44">
        <f t="shared" si="16"/>
        <v>24000</v>
      </c>
    </row>
    <row r="44" spans="2:8" x14ac:dyDescent="0.4">
      <c r="B44" s="44" t="str">
        <f t="shared" si="15"/>
        <v>Procesadora</v>
      </c>
      <c r="C44" s="44"/>
      <c r="D44" s="44">
        <f t="shared" ref="D44:H44" si="17">-D35</f>
        <v>16000</v>
      </c>
      <c r="E44" s="44">
        <f t="shared" si="17"/>
        <v>16000</v>
      </c>
      <c r="F44" s="44">
        <f t="shared" si="17"/>
        <v>16000</v>
      </c>
      <c r="G44" s="44">
        <f t="shared" si="17"/>
        <v>16000</v>
      </c>
      <c r="H44" s="44">
        <f t="shared" si="17"/>
        <v>16000</v>
      </c>
    </row>
    <row r="45" spans="2:8" x14ac:dyDescent="0.4">
      <c r="B45" s="44"/>
      <c r="C45" s="44"/>
      <c r="D45" s="44"/>
      <c r="E45" s="44"/>
      <c r="F45" s="44"/>
      <c r="G45" s="44"/>
      <c r="H45" s="44"/>
    </row>
    <row r="46" spans="2:8" x14ac:dyDescent="0.4">
      <c r="B46" s="44" t="s">
        <v>84</v>
      </c>
      <c r="C46" s="44"/>
      <c r="D46" s="44"/>
      <c r="E46" s="44"/>
      <c r="F46" s="44"/>
      <c r="G46" s="44"/>
      <c r="H46" s="44">
        <f>SUM(L24:O24)</f>
        <v>482000</v>
      </c>
    </row>
    <row r="47" spans="2:8" x14ac:dyDescent="0.4">
      <c r="B47" s="44"/>
      <c r="C47" s="44"/>
      <c r="D47" s="44"/>
      <c r="E47" s="44"/>
      <c r="F47" s="44"/>
      <c r="G47" s="44"/>
      <c r="H47" s="44"/>
    </row>
    <row r="48" spans="2:8" x14ac:dyDescent="0.4">
      <c r="B48" s="44" t="s">
        <v>83</v>
      </c>
      <c r="C48" s="44"/>
      <c r="D48" s="44"/>
      <c r="E48" s="44"/>
      <c r="F48" s="44"/>
      <c r="G48" s="44"/>
      <c r="H48" s="44"/>
    </row>
    <row r="49" spans="2:8" x14ac:dyDescent="0.4">
      <c r="B49" s="44" t="str">
        <f>Calendario!B9</f>
        <v>Dinosaurios</v>
      </c>
      <c r="C49" s="44">
        <f>-Datos!E8*Datos!C8</f>
        <v>-100000</v>
      </c>
      <c r="D49" s="44"/>
      <c r="E49" s="44"/>
      <c r="F49" s="44"/>
      <c r="G49" s="44"/>
      <c r="H49" s="44"/>
    </row>
    <row r="50" spans="2:8" x14ac:dyDescent="0.4">
      <c r="B50" s="44" t="str">
        <f>Calendario!B10</f>
        <v>Camiones</v>
      </c>
      <c r="C50" s="44">
        <f>-Datos!E9*Datos!C9</f>
        <v>-120000</v>
      </c>
      <c r="D50" s="44"/>
      <c r="E50" s="44"/>
      <c r="F50" s="44"/>
      <c r="G50" s="44"/>
      <c r="H50" s="44"/>
    </row>
    <row r="51" spans="2:8" x14ac:dyDescent="0.4">
      <c r="B51" s="44" t="str">
        <f>Calendario!B11</f>
        <v>Procesadora</v>
      </c>
      <c r="C51" s="44">
        <f>-Datos!E10*Datos!C10</f>
        <v>-160000</v>
      </c>
      <c r="D51" s="44"/>
      <c r="E51" s="44"/>
      <c r="F51" s="44"/>
      <c r="G51" s="44"/>
      <c r="H51" s="44"/>
    </row>
    <row r="52" spans="2:8" x14ac:dyDescent="0.4">
      <c r="B52" s="44" t="str">
        <f>Calendario!B12</f>
        <v>Terreno</v>
      </c>
      <c r="C52" s="44">
        <f>-Datos!E11</f>
        <v>-300000</v>
      </c>
      <c r="D52" s="44"/>
      <c r="E52" s="44"/>
      <c r="F52" s="44"/>
      <c r="G52" s="44"/>
      <c r="H52" s="44"/>
    </row>
    <row r="53" spans="2:8" x14ac:dyDescent="0.4">
      <c r="B53" s="44" t="str">
        <f>Calendario!B18</f>
        <v>Costo Alternativo</v>
      </c>
      <c r="C53" s="44">
        <f>Calendario!C18</f>
        <v>-66422.728893058142</v>
      </c>
      <c r="D53" s="44"/>
      <c r="E53" s="44"/>
      <c r="F53" s="44"/>
      <c r="G53" s="44"/>
      <c r="H53" s="44"/>
    </row>
    <row r="54" spans="2:8" x14ac:dyDescent="0.4">
      <c r="B54" s="44" t="s">
        <v>110</v>
      </c>
      <c r="C54" s="44">
        <f>(SUM(D18:D21)+SUM(D26:D28))/12</f>
        <v>-189562.5</v>
      </c>
      <c r="D54" s="44">
        <v>0</v>
      </c>
      <c r="E54" s="44">
        <v>0</v>
      </c>
      <c r="F54" s="44">
        <v>0</v>
      </c>
      <c r="G54" s="44">
        <v>0</v>
      </c>
      <c r="H54" s="44">
        <f>-SUM(C54:G54)</f>
        <v>189562.5</v>
      </c>
    </row>
    <row r="55" spans="2:8" x14ac:dyDescent="0.4">
      <c r="B55" s="44"/>
      <c r="C55" s="44"/>
      <c r="D55" s="44"/>
      <c r="E55" s="44"/>
      <c r="F55" s="44"/>
      <c r="G55" s="44"/>
      <c r="H55" s="44"/>
    </row>
    <row r="56" spans="2:8" x14ac:dyDescent="0.4">
      <c r="B56" s="45" t="s">
        <v>91</v>
      </c>
      <c r="C56" s="45">
        <f>SUM(C49:C54)</f>
        <v>-935985.22889305814</v>
      </c>
      <c r="D56" s="45">
        <f>D39+SUM(D42:D54)</f>
        <v>1645462.5</v>
      </c>
      <c r="E56" s="45">
        <f t="shared" ref="E56:H56" si="18">E39+SUM(E42:E54)</f>
        <v>1645462.5</v>
      </c>
      <c r="F56" s="45">
        <f t="shared" si="18"/>
        <v>1645462.5</v>
      </c>
      <c r="G56" s="45">
        <f t="shared" si="18"/>
        <v>2359462.5</v>
      </c>
      <c r="H56" s="45">
        <f t="shared" si="18"/>
        <v>3031025</v>
      </c>
    </row>
    <row r="57" spans="2:8" ht="15" thickBot="1" x14ac:dyDescent="0.45"/>
    <row r="58" spans="2:8" x14ac:dyDescent="0.4">
      <c r="B58" s="41" t="s">
        <v>93</v>
      </c>
      <c r="C58" s="50">
        <f>NPV(Calendario!C13,Flujo!D56:H56)+Flujo!C56</f>
        <v>5373753.7553948211</v>
      </c>
    </row>
    <row r="59" spans="2:8" ht="15" thickBot="1" x14ac:dyDescent="0.45">
      <c r="B59" s="42" t="s">
        <v>92</v>
      </c>
      <c r="C59" s="43">
        <f>IRR(C56:H56)</f>
        <v>1.7858949899493894</v>
      </c>
    </row>
    <row r="62" spans="2:8" ht="15" thickBot="1" x14ac:dyDescent="0.45">
      <c r="E62" s="72"/>
      <c r="F62" s="72">
        <v>1</v>
      </c>
      <c r="G62" s="72">
        <v>2</v>
      </c>
      <c r="H62" s="72">
        <v>3</v>
      </c>
    </row>
    <row r="63" spans="2:8" x14ac:dyDescent="0.4">
      <c r="B63" s="29"/>
      <c r="C63" s="29" t="s">
        <v>73</v>
      </c>
      <c r="D63" s="29" t="s">
        <v>67</v>
      </c>
      <c r="E63" s="29" t="s">
        <v>68</v>
      </c>
      <c r="F63" s="29" t="s">
        <v>69</v>
      </c>
      <c r="G63" s="29" t="s">
        <v>70</v>
      </c>
      <c r="H63" s="30" t="s">
        <v>71</v>
      </c>
    </row>
    <row r="64" spans="2:8" x14ac:dyDescent="0.4">
      <c r="B64" s="44"/>
      <c r="C64" s="44"/>
      <c r="D64" s="44"/>
      <c r="E64" s="44"/>
      <c r="F64" s="44"/>
      <c r="G64" s="44"/>
      <c r="H64" s="44"/>
    </row>
    <row r="65" spans="2:8" x14ac:dyDescent="0.4">
      <c r="B65" s="44" t="s">
        <v>100</v>
      </c>
      <c r="C65" s="44"/>
      <c r="D65" s="44"/>
      <c r="E65" s="44"/>
      <c r="F65" s="44">
        <f>-F86</f>
        <v>-45955.018769874223</v>
      </c>
      <c r="G65" s="44">
        <f t="shared" ref="G65:H65" si="19">-G86</f>
        <v>-31936.221670983337</v>
      </c>
      <c r="H65" s="44">
        <f t="shared" si="19"/>
        <v>-16655.732833192269</v>
      </c>
    </row>
    <row r="66" spans="2:8" x14ac:dyDescent="0.4">
      <c r="B66" s="57" t="s">
        <v>115</v>
      </c>
      <c r="C66" s="58"/>
      <c r="D66" s="58">
        <f>SUM(D65)</f>
        <v>0</v>
      </c>
      <c r="E66" s="58">
        <f t="shared" ref="E66:H66" si="20">SUM(E65)</f>
        <v>0</v>
      </c>
      <c r="F66" s="58">
        <f t="shared" si="20"/>
        <v>-45955.018769874223</v>
      </c>
      <c r="G66" s="58">
        <f t="shared" si="20"/>
        <v>-31936.221670983337</v>
      </c>
      <c r="H66" s="58">
        <f t="shared" si="20"/>
        <v>-16655.732833192269</v>
      </c>
    </row>
    <row r="67" spans="2:8" x14ac:dyDescent="0.4">
      <c r="B67" s="60" t="s">
        <v>101</v>
      </c>
      <c r="C67" s="61"/>
      <c r="D67" s="61">
        <f>-Datos!$F$43*D66</f>
        <v>0</v>
      </c>
      <c r="E67" s="61">
        <f>-Datos!$F$43*E66</f>
        <v>0</v>
      </c>
      <c r="F67" s="61">
        <f>-Datos!$F$43*F66</f>
        <v>6893.2528154811334</v>
      </c>
      <c r="G67" s="61">
        <f>-Datos!$F$43*G66</f>
        <v>4790.4332506475002</v>
      </c>
      <c r="H67" s="61">
        <f>-Datos!$F$43*H66</f>
        <v>2498.3599249788404</v>
      </c>
    </row>
    <row r="68" spans="2:8" x14ac:dyDescent="0.4">
      <c r="B68" s="44" t="s">
        <v>116</v>
      </c>
      <c r="C68" s="44"/>
      <c r="D68" s="44">
        <f>SUM(D66:D67)</f>
        <v>0</v>
      </c>
      <c r="E68" s="44">
        <f t="shared" ref="E68:H68" si="21">SUM(E66:E67)</f>
        <v>0</v>
      </c>
      <c r="F68" s="44">
        <f t="shared" si="21"/>
        <v>-39061.765954393093</v>
      </c>
      <c r="G68" s="44">
        <f t="shared" si="21"/>
        <v>-27145.788420335837</v>
      </c>
      <c r="H68" s="44">
        <f t="shared" si="21"/>
        <v>-14157.372908213429</v>
      </c>
    </row>
    <row r="69" spans="2:8" x14ac:dyDescent="0.4">
      <c r="B69" s="44"/>
      <c r="C69" s="44"/>
      <c r="D69" s="44"/>
      <c r="E69" s="44"/>
      <c r="F69" s="44"/>
      <c r="G69" s="44"/>
      <c r="H69" s="44"/>
    </row>
    <row r="70" spans="2:8" x14ac:dyDescent="0.4">
      <c r="B70" s="44" t="s">
        <v>118</v>
      </c>
      <c r="C70" s="44"/>
      <c r="D70" s="44">
        <f>-D87</f>
        <v>0</v>
      </c>
      <c r="E70" s="44">
        <f t="shared" ref="E70:H70" si="22">-E87</f>
        <v>0</v>
      </c>
      <c r="F70" s="44">
        <f t="shared" si="22"/>
        <v>-155764.41220989876</v>
      </c>
      <c r="G70" s="44">
        <f t="shared" si="22"/>
        <v>-169783.20930878964</v>
      </c>
      <c r="H70" s="44">
        <f t="shared" si="22"/>
        <v>-185063.69814658069</v>
      </c>
    </row>
    <row r="71" spans="2:8" x14ac:dyDescent="0.4">
      <c r="B71" s="44" t="s">
        <v>117</v>
      </c>
      <c r="C71" s="44">
        <f>L28</f>
        <v>429771.33209769306</v>
      </c>
      <c r="D71" s="44"/>
      <c r="E71" s="44"/>
      <c r="F71" s="44"/>
      <c r="G71" s="44"/>
      <c r="H71" s="44"/>
    </row>
    <row r="72" spans="2:8" x14ac:dyDescent="0.4">
      <c r="B72" s="44"/>
      <c r="C72" s="44"/>
      <c r="D72" s="44"/>
      <c r="E72" s="44"/>
      <c r="F72" s="44"/>
      <c r="G72" s="44"/>
      <c r="H72" s="44"/>
    </row>
    <row r="73" spans="2:8" x14ac:dyDescent="0.4">
      <c r="B73" s="45" t="s">
        <v>91</v>
      </c>
      <c r="C73" s="45">
        <f>SUM(C68:C72)</f>
        <v>429771.33209769306</v>
      </c>
      <c r="D73" s="45">
        <f t="shared" ref="D73:H73" si="23">SUM(D68:D72)</f>
        <v>0</v>
      </c>
      <c r="E73" s="45">
        <f t="shared" si="23"/>
        <v>0</v>
      </c>
      <c r="F73" s="45">
        <f t="shared" si="23"/>
        <v>-194826.17816429184</v>
      </c>
      <c r="G73" s="45">
        <f t="shared" si="23"/>
        <v>-196928.99772912546</v>
      </c>
      <c r="H73" s="45">
        <f t="shared" si="23"/>
        <v>-199221.07105479413</v>
      </c>
    </row>
    <row r="74" spans="2:8" ht="15" thickBot="1" x14ac:dyDescent="0.45"/>
    <row r="75" spans="2:8" ht="15" thickBot="1" x14ac:dyDescent="0.45">
      <c r="B75" s="40" t="s">
        <v>102</v>
      </c>
      <c r="C75" s="51">
        <f>NPV(Datos!F36,Flujo!D73:H73)+Flujo!C73</f>
        <v>10340.282164196484</v>
      </c>
      <c r="E75" s="84" t="s">
        <v>119</v>
      </c>
      <c r="F75" s="85"/>
      <c r="G75" s="86">
        <f>+NPV(9%,D67:H67)</f>
        <v>10340.282164196367</v>
      </c>
    </row>
    <row r="78" spans="2:8" ht="15" thickBot="1" x14ac:dyDescent="0.45"/>
    <row r="79" spans="2:8" ht="15" thickBot="1" x14ac:dyDescent="0.45">
      <c r="B79" s="40" t="s">
        <v>103</v>
      </c>
      <c r="C79" s="51">
        <f>C58+C75</f>
        <v>5384094.0375590175</v>
      </c>
    </row>
    <row r="82" spans="2:8" ht="15" thickBot="1" x14ac:dyDescent="0.45">
      <c r="B82" s="74" t="s">
        <v>111</v>
      </c>
      <c r="E82" s="73">
        <v>0.09</v>
      </c>
    </row>
    <row r="83" spans="2:8" x14ac:dyDescent="0.4">
      <c r="B83" s="73"/>
      <c r="C83" s="29" t="s">
        <v>73</v>
      </c>
      <c r="D83" s="29" t="s">
        <v>67</v>
      </c>
      <c r="E83" s="29" t="s">
        <v>68</v>
      </c>
      <c r="F83" s="29" t="s">
        <v>69</v>
      </c>
      <c r="G83" s="29" t="s">
        <v>70</v>
      </c>
      <c r="H83" s="30" t="s">
        <v>71</v>
      </c>
    </row>
    <row r="84" spans="2:8" x14ac:dyDescent="0.4">
      <c r="B84" s="75" t="s">
        <v>113</v>
      </c>
      <c r="C84" s="76">
        <f>+C71</f>
        <v>429771.33209769306</v>
      </c>
      <c r="D84" s="76">
        <f>+C84*(1+E82)</f>
        <v>468450.75198648544</v>
      </c>
      <c r="E84" s="76">
        <f>-FV(E82,2,,C84)</f>
        <v>510611.31966526917</v>
      </c>
      <c r="F84" s="76">
        <f>+E84-F87</f>
        <v>354846.90745537041</v>
      </c>
      <c r="G84" s="76">
        <f t="shared" ref="G84:H84" si="24">+F84-G87</f>
        <v>185063.69814658078</v>
      </c>
      <c r="H84" s="77">
        <f t="shared" si="24"/>
        <v>0</v>
      </c>
    </row>
    <row r="85" spans="2:8" x14ac:dyDescent="0.4">
      <c r="B85" s="78" t="s">
        <v>114</v>
      </c>
      <c r="C85" s="79"/>
      <c r="D85" s="79"/>
      <c r="E85" s="79"/>
      <c r="F85" s="79">
        <f>-PMT(E82,3,E84)</f>
        <v>201719.43097977297</v>
      </c>
      <c r="G85" s="79">
        <f>+F85</f>
        <v>201719.43097977297</v>
      </c>
      <c r="H85" s="80">
        <f>+G85</f>
        <v>201719.43097977297</v>
      </c>
    </row>
    <row r="86" spans="2:8" x14ac:dyDescent="0.4">
      <c r="B86" s="78" t="s">
        <v>100</v>
      </c>
      <c r="C86" s="79"/>
      <c r="D86" s="79"/>
      <c r="E86" s="79"/>
      <c r="F86" s="79">
        <f>+$E$82*E84</f>
        <v>45955.018769874223</v>
      </c>
      <c r="G86" s="79">
        <f>+$E$82*F84</f>
        <v>31936.221670983337</v>
      </c>
      <c r="H86" s="80">
        <f>+$E$82*G84</f>
        <v>16655.732833192269</v>
      </c>
    </row>
    <row r="87" spans="2:8" x14ac:dyDescent="0.4">
      <c r="B87" s="81" t="s">
        <v>112</v>
      </c>
      <c r="C87" s="82"/>
      <c r="D87" s="82"/>
      <c r="E87" s="82"/>
      <c r="F87" s="82">
        <f>+F85-F86</f>
        <v>155764.41220989876</v>
      </c>
      <c r="G87" s="82">
        <f t="shared" ref="G87:H87" si="25">+G85-G86</f>
        <v>169783.20930878964</v>
      </c>
      <c r="H87" s="83">
        <f t="shared" si="25"/>
        <v>185063.69814658069</v>
      </c>
    </row>
  </sheetData>
  <mergeCells count="2">
    <mergeCell ref="L15:M15"/>
    <mergeCell ref="D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</vt:lpstr>
      <vt:lpstr>Calendario</vt:lpstr>
      <vt:lpstr>Flujo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Duckmanx</dc:creator>
  <cp:lastModifiedBy>Rodrigo</cp:lastModifiedBy>
  <dcterms:created xsi:type="dcterms:W3CDTF">2018-12-17T18:52:27Z</dcterms:created>
  <dcterms:modified xsi:type="dcterms:W3CDTF">2019-01-09T01:00:49Z</dcterms:modified>
</cp:coreProperties>
</file>