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ropbox\Ejercicios Alumnos\Nuevos\"/>
    </mc:Choice>
  </mc:AlternateContent>
  <xr:revisionPtr revIDLastSave="0" documentId="13_ncr:1_{DEA68EDB-88D6-451E-A32C-ED29482B3800}" xr6:coauthVersionLast="40" xr6:coauthVersionMax="40" xr10:uidLastSave="{00000000-0000-0000-0000-000000000000}"/>
  <bookViews>
    <workbookView xWindow="0" yWindow="0" windowWidth="20494" windowHeight="6943" activeTab="4" xr2:uid="{BD0F1130-7086-43A9-9EF4-561A752BB2E4}"/>
  </bookViews>
  <sheets>
    <sheet name="Datos" sheetId="4" r:id="rId1"/>
    <sheet name="Demanda" sheetId="1" r:id="rId2"/>
    <sheet name="Calendario" sheetId="5" r:id="rId3"/>
    <sheet name="Deuda" sheetId="7" r:id="rId4"/>
    <sheet name="Flujo" sheetId="6" r:id="rId5"/>
  </sheets>
  <definedNames>
    <definedName name="_Hlk530051713" localSheetId="0">Datos!$B$23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5" l="1"/>
  <c r="B14" i="5"/>
  <c r="M34" i="6" l="1"/>
  <c r="M26" i="6"/>
  <c r="D37" i="6"/>
  <c r="D9" i="7"/>
  <c r="B15" i="5"/>
  <c r="L32" i="6" l="1"/>
  <c r="K32" i="6"/>
  <c r="D4" i="7" l="1"/>
  <c r="C15" i="7" s="1"/>
  <c r="C17" i="7" s="1"/>
  <c r="D3" i="7"/>
  <c r="D2" i="7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Q12" i="5"/>
  <c r="R12" i="5"/>
  <c r="U12" i="5"/>
  <c r="V12" i="5"/>
  <c r="Y12" i="5"/>
  <c r="Z12" i="5"/>
  <c r="C40" i="6"/>
  <c r="E15" i="6"/>
  <c r="E32" i="6" s="1"/>
  <c r="F15" i="6"/>
  <c r="F32" i="6" s="1"/>
  <c r="G15" i="6"/>
  <c r="G32" i="6" s="1"/>
  <c r="H15" i="6"/>
  <c r="H32" i="6" s="1"/>
  <c r="I15" i="6"/>
  <c r="I32" i="6" s="1"/>
  <c r="J15" i="6"/>
  <c r="D15" i="6"/>
  <c r="D32" i="6" s="1"/>
  <c r="E16" i="6"/>
  <c r="E33" i="6" s="1"/>
  <c r="F16" i="6"/>
  <c r="F33" i="6" s="1"/>
  <c r="G16" i="6"/>
  <c r="G33" i="6" s="1"/>
  <c r="H16" i="6"/>
  <c r="H33" i="6" s="1"/>
  <c r="I16" i="6"/>
  <c r="I33" i="6" s="1"/>
  <c r="J16" i="6"/>
  <c r="J33" i="6" s="1"/>
  <c r="K16" i="6"/>
  <c r="K33" i="6" s="1"/>
  <c r="L16" i="6"/>
  <c r="L33" i="6" s="1"/>
  <c r="M16" i="6"/>
  <c r="M33" i="6" s="1"/>
  <c r="D16" i="6"/>
  <c r="D33" i="6" s="1"/>
  <c r="E11" i="6"/>
  <c r="F11" i="6"/>
  <c r="G11" i="6"/>
  <c r="H11" i="6"/>
  <c r="I11" i="6"/>
  <c r="J11" i="6"/>
  <c r="K11" i="6"/>
  <c r="L11" i="6"/>
  <c r="M11" i="6"/>
  <c r="E10" i="6"/>
  <c r="F10" i="6"/>
  <c r="G10" i="6"/>
  <c r="H10" i="6"/>
  <c r="I10" i="6"/>
  <c r="J10" i="6"/>
  <c r="K10" i="6"/>
  <c r="L10" i="6"/>
  <c r="M10" i="6"/>
  <c r="E9" i="6"/>
  <c r="F9" i="6"/>
  <c r="G9" i="6"/>
  <c r="H9" i="6"/>
  <c r="I9" i="6"/>
  <c r="J9" i="6"/>
  <c r="K9" i="6"/>
  <c r="L9" i="6"/>
  <c r="M9" i="6"/>
  <c r="D11" i="6"/>
  <c r="D10" i="6"/>
  <c r="D9" i="6"/>
  <c r="L4" i="6"/>
  <c r="AA6" i="6" s="1"/>
  <c r="H4" i="6"/>
  <c r="W6" i="6" s="1"/>
  <c r="D4" i="6"/>
  <c r="S6" i="6" s="1"/>
  <c r="S7" i="6" s="1"/>
  <c r="C28" i="6" s="1"/>
  <c r="G3" i="6"/>
  <c r="H3" i="6"/>
  <c r="H6" i="6" s="1"/>
  <c r="H7" i="6" s="1"/>
  <c r="K3" i="6"/>
  <c r="L3" i="6"/>
  <c r="L6" i="6" s="1"/>
  <c r="L7" i="6" s="1"/>
  <c r="T8" i="5"/>
  <c r="Q6" i="5"/>
  <c r="R6" i="5"/>
  <c r="S6" i="5"/>
  <c r="S12" i="5" s="1"/>
  <c r="T6" i="5"/>
  <c r="T12" i="5" s="1"/>
  <c r="U6" i="5"/>
  <c r="V6" i="5"/>
  <c r="W6" i="5"/>
  <c r="W12" i="5" s="1"/>
  <c r="X6" i="5"/>
  <c r="X12" i="5" s="1"/>
  <c r="Y6" i="5"/>
  <c r="P6" i="5"/>
  <c r="P12" i="5" s="1"/>
  <c r="B4" i="5"/>
  <c r="B12" i="5" s="1"/>
  <c r="D11" i="1"/>
  <c r="E3" i="6" s="1"/>
  <c r="D12" i="1"/>
  <c r="F4" i="6" s="1"/>
  <c r="U6" i="6" s="1"/>
  <c r="D13" i="1"/>
  <c r="G4" i="6" s="1"/>
  <c r="V6" i="6" s="1"/>
  <c r="D14" i="1"/>
  <c r="D15" i="1"/>
  <c r="I3" i="6" s="1"/>
  <c r="D16" i="1"/>
  <c r="J4" i="6" s="1"/>
  <c r="Y6" i="6" s="1"/>
  <c r="D17" i="1"/>
  <c r="K4" i="6" s="1"/>
  <c r="Z6" i="6" s="1"/>
  <c r="D18" i="1"/>
  <c r="D19" i="1"/>
  <c r="M3" i="6" s="1"/>
  <c r="D10" i="1"/>
  <c r="D3" i="6" s="1"/>
  <c r="J3" i="6" l="1"/>
  <c r="J6" i="6" s="1"/>
  <c r="J7" i="6" s="1"/>
  <c r="F3" i="6"/>
  <c r="F6" i="6" s="1"/>
  <c r="F7" i="6" s="1"/>
  <c r="E4" i="6"/>
  <c r="T6" i="6" s="1"/>
  <c r="T7" i="6" s="1"/>
  <c r="D28" i="6" s="1"/>
  <c r="I4" i="6"/>
  <c r="X6" i="6" s="1"/>
  <c r="X7" i="6" s="1"/>
  <c r="H28" i="6" s="1"/>
  <c r="M4" i="6"/>
  <c r="AB6" i="6" s="1"/>
  <c r="M15" i="6"/>
  <c r="M32" i="6" s="1"/>
  <c r="J32" i="6"/>
  <c r="H9" i="7"/>
  <c r="H10" i="7" s="1"/>
  <c r="H11" i="7" s="1"/>
  <c r="H17" i="7" s="1"/>
  <c r="E13" i="7"/>
  <c r="E9" i="7"/>
  <c r="G13" i="7"/>
  <c r="G9" i="7"/>
  <c r="D10" i="7"/>
  <c r="D11" i="7" s="1"/>
  <c r="D17" i="7" s="1"/>
  <c r="F13" i="7"/>
  <c r="H13" i="7"/>
  <c r="F9" i="7"/>
  <c r="D13" i="7"/>
  <c r="V7" i="6"/>
  <c r="F28" i="6" s="1"/>
  <c r="W7" i="6"/>
  <c r="G28" i="6" s="1"/>
  <c r="AA7" i="6"/>
  <c r="K28" i="6" s="1"/>
  <c r="K6" i="6"/>
  <c r="K7" i="6" s="1"/>
  <c r="G6" i="6"/>
  <c r="G7" i="6" s="1"/>
  <c r="J13" i="6"/>
  <c r="F13" i="6"/>
  <c r="AB7" i="6"/>
  <c r="L28" i="6" s="1"/>
  <c r="F14" i="6"/>
  <c r="Z7" i="6"/>
  <c r="J28" i="6" s="1"/>
  <c r="D6" i="6"/>
  <c r="M6" i="6"/>
  <c r="L13" i="6"/>
  <c r="H13" i="6"/>
  <c r="B17" i="5"/>
  <c r="B18" i="5"/>
  <c r="E6" i="6" l="1"/>
  <c r="I6" i="6"/>
  <c r="Y7" i="6"/>
  <c r="I28" i="6" s="1"/>
  <c r="U7" i="6"/>
  <c r="E28" i="6" s="1"/>
  <c r="J14" i="6"/>
  <c r="J18" i="6"/>
  <c r="J20" i="6" s="1"/>
  <c r="J37" i="6" s="1"/>
  <c r="H18" i="6"/>
  <c r="H20" i="6" s="1"/>
  <c r="H37" i="6" s="1"/>
  <c r="L18" i="6"/>
  <c r="L20" i="6" s="1"/>
  <c r="L37" i="6" s="1"/>
  <c r="F18" i="6"/>
  <c r="F20" i="6"/>
  <c r="F37" i="6" s="1"/>
  <c r="C20" i="7"/>
  <c r="F10" i="7"/>
  <c r="F11" i="7" s="1"/>
  <c r="F17" i="7" s="1"/>
  <c r="G10" i="7"/>
  <c r="G11" i="7" s="1"/>
  <c r="G17" i="7" s="1"/>
  <c r="E10" i="7"/>
  <c r="E11" i="7" s="1"/>
  <c r="E17" i="7" s="1"/>
  <c r="G13" i="6"/>
  <c r="K13" i="6"/>
  <c r="I7" i="6"/>
  <c r="I13" i="6"/>
  <c r="H14" i="6"/>
  <c r="M7" i="6"/>
  <c r="M13" i="6"/>
  <c r="L14" i="6"/>
  <c r="D7" i="6"/>
  <c r="D13" i="6"/>
  <c r="E7" i="6"/>
  <c r="E13" i="6"/>
  <c r="C24" i="6"/>
  <c r="C37" i="6" s="1"/>
  <c r="E18" i="6" l="1"/>
  <c r="E20" i="6" s="1"/>
  <c r="E37" i="6" s="1"/>
  <c r="K18" i="6"/>
  <c r="K20" i="6" s="1"/>
  <c r="K37" i="6" s="1"/>
  <c r="D18" i="6"/>
  <c r="D20" i="6" s="1"/>
  <c r="M18" i="6"/>
  <c r="M20" i="6" s="1"/>
  <c r="M37" i="6" s="1"/>
  <c r="I18" i="6"/>
  <c r="I20" i="6" s="1"/>
  <c r="I37" i="6" s="1"/>
  <c r="G18" i="6"/>
  <c r="G20" i="6" s="1"/>
  <c r="G37" i="6" s="1"/>
  <c r="K14" i="6"/>
  <c r="G14" i="6"/>
  <c r="E14" i="6"/>
  <c r="D14" i="6"/>
  <c r="M14" i="6"/>
  <c r="I14" i="6"/>
  <c r="C41" i="6" l="1"/>
  <c r="C42" i="6"/>
  <c r="C45" i="6" s="1"/>
</calcChain>
</file>

<file path=xl/sharedStrings.xml><?xml version="1.0" encoding="utf-8"?>
<sst xmlns="http://schemas.openxmlformats.org/spreadsheetml/2006/main" count="120" uniqueCount="102">
  <si>
    <t>Año</t>
  </si>
  <si>
    <t>2018*</t>
  </si>
  <si>
    <t>Ventas</t>
  </si>
  <si>
    <t>Auxiliar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</si>
  <si>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</si>
  <si>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</si>
  <si>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</si>
  <si>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</si>
  <si>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</si>
  <si>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</si>
  <si>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</si>
  <si>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</si>
  <si>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</si>
  <si>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</si>
  <si>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</si>
  <si>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</si>
  <si>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</si>
  <si>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</si>
  <si>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</si>
  <si>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</si>
  <si>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</si>
  <si>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</si>
  <si>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</si>
  <si>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</si>
  <si>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</si>
  <si>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</si>
  <si>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</si>
  <si>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</si>
  <si>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Variable X 1</t>
  </si>
  <si>
    <t>Mes antes Puesta en Marcha</t>
  </si>
  <si>
    <t>Activos</t>
  </si>
  <si>
    <t>Cantidad</t>
  </si>
  <si>
    <t>Fecha Adquisición</t>
  </si>
  <si>
    <t>Valor de Compra *</t>
  </si>
  <si>
    <t>Terreno</t>
  </si>
  <si>
    <t>2 años**</t>
  </si>
  <si>
    <t>Obras Físicas</t>
  </si>
  <si>
    <t>10 meses**</t>
  </si>
  <si>
    <t>Líneas de Producción</t>
  </si>
  <si>
    <t>6 meses**</t>
  </si>
  <si>
    <t>Compra Terreno</t>
  </si>
  <si>
    <t>Obras Fisicas</t>
  </si>
  <si>
    <t>Lineas de Producción</t>
  </si>
  <si>
    <t>Tasa  mensual</t>
  </si>
  <si>
    <t>Tasa</t>
  </si>
  <si>
    <t>Valor Actual Total</t>
  </si>
  <si>
    <t>Valor Actual  Terreno</t>
  </si>
  <si>
    <t>Valor Actual Obras Físicas</t>
  </si>
  <si>
    <t>Valor Actual Lineas</t>
  </si>
  <si>
    <t xml:space="preserve">Precio </t>
  </si>
  <si>
    <t>Insumo</t>
  </si>
  <si>
    <t>Valor Unitario</t>
  </si>
  <si>
    <t>Poliuretano</t>
  </si>
  <si>
    <t>Fibra</t>
  </si>
  <si>
    <t>Cera</t>
  </si>
  <si>
    <t>Pintura</t>
  </si>
  <si>
    <t>Mano obra directa</t>
  </si>
  <si>
    <t>Seguro</t>
  </si>
  <si>
    <t>Mensuales</t>
  </si>
  <si>
    <t>Remuneraciones</t>
  </si>
  <si>
    <t>Otros Gastos</t>
  </si>
  <si>
    <t>Datos Credito</t>
  </si>
  <si>
    <t>Cifra</t>
  </si>
  <si>
    <t>Capital de Trabajo</t>
  </si>
  <si>
    <t>Costos Variables</t>
  </si>
  <si>
    <t>Monto</t>
  </si>
  <si>
    <t>Cuota</t>
  </si>
  <si>
    <t>Horizonte</t>
  </si>
  <si>
    <t>años</t>
  </si>
  <si>
    <t>Impuestos</t>
  </si>
  <si>
    <t>Depreciación Obras Fisicas</t>
  </si>
  <si>
    <t>Depreciaciaon LP</t>
  </si>
  <si>
    <t>Vida Tecnica LP</t>
  </si>
  <si>
    <t>Costos Diresctos</t>
  </si>
  <si>
    <t>Margen Bruto</t>
  </si>
  <si>
    <t>Seguro Instalaciones</t>
  </si>
  <si>
    <t>Ebitda</t>
  </si>
  <si>
    <t>Depreciación LP</t>
  </si>
  <si>
    <t>Nopat</t>
  </si>
  <si>
    <t xml:space="preserve">Inversiones </t>
  </si>
  <si>
    <t xml:space="preserve">Inversiones Previas </t>
  </si>
  <si>
    <t>Valor Economico</t>
  </si>
  <si>
    <t>Necesidad en CT</t>
  </si>
  <si>
    <t>Inversión en CT</t>
  </si>
  <si>
    <t>Flujo</t>
  </si>
  <si>
    <t>VAN</t>
  </si>
  <si>
    <t xml:space="preserve">Períodos </t>
  </si>
  <si>
    <t>Tasa Deuda</t>
  </si>
  <si>
    <t>Ahorro Tributario</t>
  </si>
  <si>
    <t>Margen</t>
  </si>
  <si>
    <t>Flujo Deuda</t>
  </si>
  <si>
    <t>Periodos</t>
  </si>
  <si>
    <t>Deuda</t>
  </si>
  <si>
    <t>Impuestos 27%</t>
  </si>
  <si>
    <t>Ingresos por Venta</t>
  </si>
  <si>
    <t>Van Deuda</t>
  </si>
  <si>
    <t>TIR</t>
  </si>
  <si>
    <t>Pago de Intereses</t>
  </si>
  <si>
    <t>Pago de Amortizaciones</t>
  </si>
  <si>
    <t>Reinversiones Líneas de Producción</t>
  </si>
  <si>
    <t>Crecimiento de la perpetuidad</t>
  </si>
  <si>
    <t>VAN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</si>
</sst>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&quot;$&quot;\-#,##0"/>
    <numFmt numFmtId="8" formatCode="&quot;$&quot;#,##0.00;[Red]&quot;$&quot;\-#,##0.00"/>
    <numFmt numFmtId="42" formatCode="_ &quot;$&quot;* #,##0_ ;_ &quot;$&quot;* \-#,##0_ ;_ &quot;$&quot;* &quot;-&quot;_ ;_ @_ "/>
    <numFmt numFmtId="164" formatCode="&quot;$&quot;#,##0"/>
    <numFmt numFmtId="165" formatCode="&quot;$&quot;#,##0;[Red]\(&quot;$&quot;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272727"/>
      <name val="Times New Roman"/>
      <family val="1"/>
    </font>
    <font>
      <i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lightGray">
        <fgColor rgb="FF000000"/>
        <bgColor rgb="FFCCCCCC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B1B1B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0" fillId="0" borderId="0" xfId="0" applyFill="1" applyBorder="1" applyAlignment="1"/>
    <xf numFmtId="0" fontId="0" fillId="0" borderId="6" xfId="0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0" fontId="3" fillId="5" borderId="0" xfId="0" applyFont="1" applyFill="1" applyAlignment="1">
      <alignment horizontal="center"/>
    </xf>
    <xf numFmtId="0" fontId="0" fillId="5" borderId="0" xfId="0" applyFill="1"/>
    <xf numFmtId="0" fontId="2" fillId="3" borderId="0" xfId="0" applyFont="1" applyFill="1"/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6" fontId="0" fillId="0" borderId="0" xfId="0" applyNumberFormat="1"/>
    <xf numFmtId="6" fontId="10" fillId="0" borderId="0" xfId="0" applyNumberFormat="1" applyFont="1" applyAlignment="1">
      <alignment horizontal="center" vertical="center" wrapText="1"/>
    </xf>
    <xf numFmtId="0" fontId="9" fillId="6" borderId="11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6" fontId="10" fillId="0" borderId="6" xfId="0" applyNumberFormat="1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6" fontId="13" fillId="0" borderId="14" xfId="0" applyNumberFormat="1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6" fontId="1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6" borderId="12" xfId="0" applyFont="1" applyFill="1" applyBorder="1" applyAlignment="1">
      <alignment horizontal="justify" vertical="center" wrapText="1"/>
    </xf>
    <xf numFmtId="9" fontId="10" fillId="0" borderId="16" xfId="2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9" fontId="10" fillId="0" borderId="14" xfId="2" applyFont="1" applyFill="1" applyBorder="1" applyAlignment="1">
      <alignment horizontal="center" vertical="center" wrapText="1"/>
    </xf>
    <xf numFmtId="1" fontId="10" fillId="0" borderId="14" xfId="2" applyNumberFormat="1" applyFont="1" applyFill="1" applyBorder="1" applyAlignment="1">
      <alignment horizontal="center" vertical="center" wrapText="1"/>
    </xf>
    <xf numFmtId="9" fontId="10" fillId="0" borderId="14" xfId="2" applyNumberFormat="1" applyFont="1" applyFill="1" applyBorder="1" applyAlignment="1">
      <alignment horizontal="center" vertical="center" wrapText="1"/>
    </xf>
    <xf numFmtId="9" fontId="0" fillId="0" borderId="0" xfId="2" applyFont="1"/>
    <xf numFmtId="42" fontId="0" fillId="0" borderId="0" xfId="1" applyFont="1"/>
    <xf numFmtId="9" fontId="10" fillId="0" borderId="4" xfId="2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1" applyNumberFormat="1" applyFont="1"/>
    <xf numFmtId="165" fontId="0" fillId="0" borderId="0" xfId="2" applyNumberFormat="1" applyFont="1"/>
    <xf numFmtId="165" fontId="2" fillId="3" borderId="0" xfId="0" applyNumberFormat="1" applyFont="1" applyFill="1"/>
    <xf numFmtId="0" fontId="0" fillId="0" borderId="11" xfId="0" applyBorder="1"/>
    <xf numFmtId="0" fontId="3" fillId="0" borderId="12" xfId="0" applyFont="1" applyBorder="1"/>
    <xf numFmtId="0" fontId="3" fillId="0" borderId="11" xfId="0" applyFont="1" applyBorder="1"/>
    <xf numFmtId="165" fontId="3" fillId="0" borderId="4" xfId="0" applyNumberFormat="1" applyFont="1" applyBorder="1"/>
    <xf numFmtId="9" fontId="3" fillId="0" borderId="16" xfId="2" applyFont="1" applyBorder="1"/>
    <xf numFmtId="0" fontId="0" fillId="7" borderId="0" xfId="0" applyFill="1"/>
    <xf numFmtId="165" fontId="0" fillId="7" borderId="0" xfId="0" applyNumberFormat="1" applyFill="1"/>
    <xf numFmtId="165" fontId="0" fillId="7" borderId="0" xfId="1" applyNumberFormat="1" applyFont="1" applyFill="1"/>
    <xf numFmtId="9" fontId="0" fillId="7" borderId="0" xfId="2" applyFont="1" applyFill="1"/>
    <xf numFmtId="0" fontId="3" fillId="7" borderId="0" xfId="0" applyFont="1" applyFill="1"/>
    <xf numFmtId="0" fontId="3" fillId="8" borderId="0" xfId="0" applyFont="1" applyFill="1"/>
    <xf numFmtId="165" fontId="0" fillId="8" borderId="0" xfId="0" applyNumberFormat="1" applyFill="1"/>
    <xf numFmtId="1" fontId="13" fillId="0" borderId="4" xfId="0" applyNumberFormat="1" applyFont="1" applyBorder="1" applyAlignment="1">
      <alignment horizontal="center" vertical="center" wrapText="1"/>
    </xf>
    <xf numFmtId="165" fontId="0" fillId="8" borderId="0" xfId="1" applyNumberFormat="1" applyFont="1" applyFill="1"/>
    <xf numFmtId="165" fontId="3" fillId="3" borderId="0" xfId="1" applyNumberFormat="1" applyFont="1" applyFill="1"/>
    <xf numFmtId="10" fontId="0" fillId="0" borderId="0" xfId="2" applyNumberFormat="1" applyFont="1"/>
    <xf numFmtId="0" fontId="3" fillId="0" borderId="0" xfId="0" applyFont="1" applyFill="1"/>
    <xf numFmtId="165" fontId="0" fillId="0" borderId="0" xfId="1" applyNumberFormat="1" applyFont="1" applyFill="1"/>
    <xf numFmtId="0" fontId="4" fillId="0" borderId="0" xfId="0" applyFont="1"/>
    <xf numFmtId="0" fontId="0" fillId="9" borderId="0" xfId="0" applyFill="1"/>
    <xf numFmtId="165" fontId="0" fillId="9" borderId="0" xfId="0" applyNumberFormat="1" applyFill="1"/>
    <xf numFmtId="0" fontId="2" fillId="3" borderId="12" xfId="0" applyFont="1" applyFill="1" applyBorder="1"/>
    <xf numFmtId="9" fontId="0" fillId="0" borderId="16" xfId="2" applyFont="1" applyBorder="1"/>
    <xf numFmtId="0" fontId="2" fillId="3" borderId="10" xfId="0" applyFont="1" applyFill="1" applyBorder="1"/>
    <xf numFmtId="1" fontId="0" fillId="0" borderId="14" xfId="0" applyNumberFormat="1" applyBorder="1"/>
    <xf numFmtId="0" fontId="2" fillId="3" borderId="11" xfId="0" applyFont="1" applyFill="1" applyBorder="1"/>
    <xf numFmtId="6" fontId="0" fillId="0" borderId="4" xfId="0" applyNumberFormat="1" applyBorder="1"/>
    <xf numFmtId="0" fontId="2" fillId="3" borderId="5" xfId="0" applyFont="1" applyFill="1" applyBorder="1"/>
    <xf numFmtId="0" fontId="2" fillId="3" borderId="16" xfId="0" applyFont="1" applyFill="1" applyBorder="1"/>
    <xf numFmtId="0" fontId="0" fillId="0" borderId="10" xfId="0" applyBorder="1"/>
    <xf numFmtId="0" fontId="0" fillId="0" borderId="0" xfId="0" applyBorder="1"/>
    <xf numFmtId="0" fontId="0" fillId="0" borderId="14" xfId="0" applyBorder="1"/>
    <xf numFmtId="165" fontId="0" fillId="0" borderId="0" xfId="1" applyNumberFormat="1" applyFont="1" applyBorder="1"/>
    <xf numFmtId="165" fontId="0" fillId="0" borderId="14" xfId="1" applyNumberFormat="1" applyFont="1" applyBorder="1"/>
    <xf numFmtId="0" fontId="3" fillId="0" borderId="8" xfId="0" applyFont="1" applyBorder="1"/>
    <xf numFmtId="0" fontId="14" fillId="10" borderId="8" xfId="0" applyFont="1" applyFill="1" applyBorder="1"/>
    <xf numFmtId="165" fontId="14" fillId="10" borderId="2" xfId="1" applyNumberFormat="1" applyFont="1" applyFill="1" applyBorder="1"/>
    <xf numFmtId="165" fontId="3" fillId="0" borderId="2" xfId="0" applyNumberFormat="1" applyFont="1" applyBorder="1"/>
    <xf numFmtId="0" fontId="3" fillId="0" borderId="10" xfId="0" applyFont="1" applyBorder="1"/>
    <xf numFmtId="9" fontId="3" fillId="0" borderId="14" xfId="2" applyFont="1" applyBorder="1"/>
    <xf numFmtId="0" fontId="0" fillId="0" borderId="12" xfId="0" applyBorder="1"/>
    <xf numFmtId="0" fontId="0" fillId="0" borderId="5" xfId="0" applyBorder="1"/>
    <xf numFmtId="0" fontId="0" fillId="0" borderId="16" xfId="0" applyBorder="1"/>
    <xf numFmtId="0" fontId="0" fillId="0" borderId="6" xfId="0" applyBorder="1"/>
    <xf numFmtId="0" fontId="0" fillId="0" borderId="4" xfId="0" applyBorder="1"/>
    <xf numFmtId="0" fontId="0" fillId="0" borderId="8" xfId="0" applyBorder="1"/>
    <xf numFmtId="165" fontId="0" fillId="0" borderId="9" xfId="1" applyNumberFormat="1" applyFont="1" applyBorder="1"/>
    <xf numFmtId="165" fontId="0" fillId="0" borderId="2" xfId="1" applyNumberFormat="1" applyFont="1" applyBorder="1"/>
    <xf numFmtId="8" fontId="0" fillId="0" borderId="0" xfId="0" applyNumberFormat="1"/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5</xdr:row>
      <xdr:rowOff>114300</xdr:rowOff>
    </xdr:from>
    <xdr:to>
      <xdr:col>10</xdr:col>
      <xdr:colOff>476250</xdr:colOff>
      <xdr:row>11</xdr:row>
      <xdr:rowOff>47625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B9C627A-1DB6-43B7-90CF-26A351488C69}"/>
                </a:ext>
              </a:extLst>
            </xdr:cNvPr>
            <xdr:cNvSpPr txBox="1"/>
          </xdr:nvSpPr>
          <xdr:spPr>
            <a:xfrm>
              <a:off x="4381500" y="1076325"/>
              <a:ext cx="3714750" cy="1095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ES" sz="1100"/>
            </a:p>
            <a:p>
              <a:endParaRPr lang="es-ES" sz="1100" b="0" i="1">
                <a:solidFill>
                  <a:schemeClr val="dk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s-CL" sz="28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L" sz="28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</m:t>
                      </m:r>
                    </m:e>
                    <m:sub>
                      <m:r>
                        <a:rPr lang="es-CL" sz="28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es-CL" sz="2800" b="0" i="1">
                      <a:solidFill>
                        <a:schemeClr val="dk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=5,25</m:t>
                  </m:r>
                  <m:sSub>
                    <m:sSubPr>
                      <m:ctrlPr>
                        <a:rPr lang="es-CL" sz="28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L" sz="28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es-CL" sz="28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</m:oMath>
              </a14:m>
              <a:r>
                <a:rPr lang="es-ES" sz="28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+63</a:t>
              </a: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B9C627A-1DB6-43B7-90CF-26A351488C69}"/>
                </a:ext>
              </a:extLst>
            </xdr:cNvPr>
            <xdr:cNvSpPr txBox="1"/>
          </xdr:nvSpPr>
          <xdr:spPr>
            <a:xfrm>
              <a:off x="4381500" y="1076325"/>
              <a:ext cx="3714750" cy="1095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ES" sz="1100"/>
            </a:p>
            <a:p>
              <a:endParaRPr lang="es-ES" sz="1100" b="0" i="1">
                <a:solidFill>
                  <a:schemeClr val="dk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algn="ctr"/>
              <a:r>
                <a:rPr lang="es-CL" sz="28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𝑌_𝑖=5,25𝑥_𝑖</a:t>
              </a:r>
              <a:r>
                <a:rPr lang="es-ES" sz="2800" b="0" i="1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+63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00EB-41A7-46B2-8649-D2DE9F415E1F}">
  <dimension ref="B1:I33"/>
  <sheetViews>
    <sheetView topLeftCell="A5" workbookViewId="0">
      <selection activeCell="E21" sqref="E21"/>
    </sheetView>
  </sheetViews>
  <sheetFormatPr baseColWidth="10" defaultRowHeight="14.6" x14ac:dyDescent="0.4"/>
  <cols>
    <col min="2" max="2" width="50.4609375" customWidth="1"/>
    <col min="3" max="3" width="16.15234375" bestFit="1" customWidth="1"/>
    <col min="4" max="4" width="15.3046875" customWidth="1"/>
    <col min="5" max="5" width="13.3046875" bestFit="1" customWidth="1"/>
  </cols>
  <sheetData>
    <row r="1" spans="2:9" ht="15" thickBot="1" x14ac:dyDescent="0.45"/>
    <row r="2" spans="2:9" ht="15" thickBot="1" x14ac:dyDescent="0.45">
      <c r="B2" s="1" t="s">
        <v>0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2" t="s">
        <v>1</v>
      </c>
    </row>
    <row r="3" spans="2:9" ht="15" thickBot="1" x14ac:dyDescent="0.45">
      <c r="B3" s="3" t="s">
        <v>2</v>
      </c>
      <c r="C3" s="4">
        <v>53</v>
      </c>
      <c r="D3" s="4">
        <v>46</v>
      </c>
      <c r="E3" s="4">
        <v>50</v>
      </c>
      <c r="F3" s="4">
        <v>71</v>
      </c>
      <c r="G3" s="4">
        <v>70</v>
      </c>
      <c r="H3" s="4">
        <v>75</v>
      </c>
      <c r="I3" s="4">
        <v>76</v>
      </c>
    </row>
    <row r="4" spans="2:9" ht="15" thickBot="1" x14ac:dyDescent="0.45"/>
    <row r="5" spans="2:9" ht="30.45" thickBot="1" x14ac:dyDescent="0.45">
      <c r="B5" s="14" t="s">
        <v>30</v>
      </c>
      <c r="C5" s="15" t="s">
        <v>31</v>
      </c>
      <c r="D5" s="15" t="s">
        <v>32</v>
      </c>
      <c r="E5" s="15" t="s">
        <v>33</v>
      </c>
    </row>
    <row r="6" spans="2:9" ht="15.45" x14ac:dyDescent="0.4">
      <c r="B6" s="16" t="s">
        <v>34</v>
      </c>
      <c r="C6" s="17">
        <v>1</v>
      </c>
      <c r="D6" s="17" t="s">
        <v>35</v>
      </c>
      <c r="E6" s="19">
        <v>20000000</v>
      </c>
    </row>
    <row r="7" spans="2:9" ht="15.45" x14ac:dyDescent="0.4">
      <c r="B7" s="16" t="s">
        <v>36</v>
      </c>
      <c r="C7" s="17">
        <v>1</v>
      </c>
      <c r="D7" s="17" t="s">
        <v>37</v>
      </c>
      <c r="E7" s="19">
        <v>60000000</v>
      </c>
    </row>
    <row r="8" spans="2:9" ht="15.9" thickBot="1" x14ac:dyDescent="0.45">
      <c r="B8" s="20" t="s">
        <v>38</v>
      </c>
      <c r="C8" s="21">
        <v>2</v>
      </c>
      <c r="D8" s="21" t="s">
        <v>39</v>
      </c>
      <c r="E8" s="22">
        <v>5000000</v>
      </c>
    </row>
    <row r="9" spans="2:9" ht="15" thickBot="1" x14ac:dyDescent="0.45"/>
    <row r="10" spans="2:9" ht="15.45" x14ac:dyDescent="0.4">
      <c r="B10" s="31" t="s">
        <v>44</v>
      </c>
      <c r="C10" s="32">
        <v>0.13</v>
      </c>
    </row>
    <row r="11" spans="2:9" ht="15.45" x14ac:dyDescent="0.4">
      <c r="B11" s="16" t="s">
        <v>49</v>
      </c>
      <c r="C11" s="33">
        <v>1250000</v>
      </c>
    </row>
    <row r="12" spans="2:9" ht="15.45" x14ac:dyDescent="0.4">
      <c r="B12" s="16" t="s">
        <v>57</v>
      </c>
      <c r="C12" s="33">
        <v>100000</v>
      </c>
      <c r="D12" t="s">
        <v>58</v>
      </c>
    </row>
    <row r="13" spans="2:9" ht="15.45" x14ac:dyDescent="0.4">
      <c r="B13" s="16" t="s">
        <v>59</v>
      </c>
      <c r="C13" s="33">
        <v>1000000</v>
      </c>
      <c r="D13" t="s">
        <v>58</v>
      </c>
    </row>
    <row r="14" spans="2:9" ht="15.45" x14ac:dyDescent="0.4">
      <c r="B14" s="16" t="s">
        <v>60</v>
      </c>
      <c r="C14" s="33">
        <v>70000</v>
      </c>
      <c r="D14" t="s">
        <v>58</v>
      </c>
    </row>
    <row r="15" spans="2:9" ht="15.45" x14ac:dyDescent="0.4">
      <c r="B15" s="16" t="s">
        <v>63</v>
      </c>
      <c r="C15" s="34">
        <v>0.15</v>
      </c>
      <c r="D15" t="s">
        <v>64</v>
      </c>
    </row>
    <row r="16" spans="2:9" ht="15.45" x14ac:dyDescent="0.4">
      <c r="B16" s="16" t="s">
        <v>67</v>
      </c>
      <c r="C16" s="35">
        <v>10</v>
      </c>
      <c r="D16" t="s">
        <v>68</v>
      </c>
    </row>
    <row r="17" spans="2:4" ht="15.45" x14ac:dyDescent="0.4">
      <c r="B17" s="16" t="s">
        <v>69</v>
      </c>
      <c r="C17" s="36">
        <v>0.27</v>
      </c>
    </row>
    <row r="18" spans="2:4" ht="30" x14ac:dyDescent="0.4">
      <c r="B18" s="16" t="s">
        <v>70</v>
      </c>
      <c r="C18" s="35">
        <v>10</v>
      </c>
      <c r="D18" t="s">
        <v>68</v>
      </c>
    </row>
    <row r="19" spans="2:4" ht="15.45" x14ac:dyDescent="0.4">
      <c r="B19" s="16" t="s">
        <v>71</v>
      </c>
      <c r="C19" s="35">
        <v>7</v>
      </c>
      <c r="D19" t="s">
        <v>68</v>
      </c>
    </row>
    <row r="20" spans="2:4" ht="15.45" x14ac:dyDescent="0.4">
      <c r="B20" s="16" t="s">
        <v>72</v>
      </c>
      <c r="C20" s="35">
        <v>9</v>
      </c>
      <c r="D20" t="s">
        <v>68</v>
      </c>
    </row>
    <row r="21" spans="2:4" ht="30.45" thickBot="1" x14ac:dyDescent="0.45">
      <c r="B21" s="20" t="s">
        <v>100</v>
      </c>
      <c r="C21" s="39">
        <v>0.02</v>
      </c>
    </row>
    <row r="22" spans="2:4" ht="15" thickBot="1" x14ac:dyDescent="0.45"/>
    <row r="23" spans="2:4" ht="15.45" thickBot="1" x14ac:dyDescent="0.45">
      <c r="B23" s="23" t="s">
        <v>50</v>
      </c>
      <c r="C23" s="24" t="s">
        <v>51</v>
      </c>
    </row>
    <row r="24" spans="2:4" ht="15.45" x14ac:dyDescent="0.4">
      <c r="B24" s="25" t="s">
        <v>52</v>
      </c>
      <c r="C24" s="26">
        <v>175250</v>
      </c>
    </row>
    <row r="25" spans="2:4" ht="15.45" x14ac:dyDescent="0.4">
      <c r="B25" s="27" t="s">
        <v>53</v>
      </c>
      <c r="C25" s="26">
        <v>272300</v>
      </c>
    </row>
    <row r="26" spans="2:4" ht="15.45" x14ac:dyDescent="0.4">
      <c r="B26" s="27" t="s">
        <v>54</v>
      </c>
      <c r="C26" s="26">
        <v>85250</v>
      </c>
    </row>
    <row r="27" spans="2:4" ht="15.45" x14ac:dyDescent="0.4">
      <c r="B27" s="27" t="s">
        <v>55</v>
      </c>
      <c r="C27" s="26">
        <v>50700</v>
      </c>
    </row>
    <row r="28" spans="2:4" ht="15.9" thickBot="1" x14ac:dyDescent="0.45">
      <c r="B28" s="28" t="s">
        <v>56</v>
      </c>
      <c r="C28" s="29">
        <v>225500</v>
      </c>
    </row>
    <row r="29" spans="2:4" ht="15" thickBot="1" x14ac:dyDescent="0.45">
      <c r="B29" s="30"/>
    </row>
    <row r="30" spans="2:4" ht="15.45" thickBot="1" x14ac:dyDescent="0.45">
      <c r="B30" s="23" t="s">
        <v>61</v>
      </c>
      <c r="C30" s="24" t="s">
        <v>62</v>
      </c>
    </row>
    <row r="31" spans="2:4" ht="15.45" x14ac:dyDescent="0.4">
      <c r="B31" s="25" t="s">
        <v>65</v>
      </c>
      <c r="C31" s="26">
        <v>70000000</v>
      </c>
    </row>
    <row r="32" spans="2:4" ht="15.45" x14ac:dyDescent="0.4">
      <c r="B32" s="27" t="s">
        <v>66</v>
      </c>
      <c r="C32" s="26">
        <v>19418681</v>
      </c>
    </row>
    <row r="33" spans="2:4" ht="15.9" thickBot="1" x14ac:dyDescent="0.45">
      <c r="B33" s="28" t="s">
        <v>86</v>
      </c>
      <c r="C33" s="56">
        <v>5</v>
      </c>
      <c r="D33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6B57-5E98-400A-9AE8-65AA34E4862E}">
  <dimension ref="B2:T19"/>
  <sheetViews>
    <sheetView workbookViewId="0">
      <selection activeCell="C10" sqref="C10"/>
    </sheetView>
  </sheetViews>
  <sheetFormatPr baseColWidth="10" defaultRowHeight="14.6" x14ac:dyDescent="0.4"/>
  <cols>
    <col min="12" max="12" width="32.84375" bestFit="1" customWidth="1"/>
    <col min="13" max="13" width="17.69140625" bestFit="1" customWidth="1"/>
    <col min="14" max="14" width="19" bestFit="1" customWidth="1"/>
    <col min="15" max="15" width="25.3828125" bestFit="1" customWidth="1"/>
    <col min="16" max="16" width="12.3046875" bestFit="1" customWidth="1"/>
    <col min="17" max="17" width="15.84375" bestFit="1" customWidth="1"/>
    <col min="18" max="18" width="12.53515625" bestFit="1" customWidth="1"/>
    <col min="19" max="19" width="13.3046875" bestFit="1" customWidth="1"/>
    <col min="20" max="20" width="14.15234375" bestFit="1" customWidth="1"/>
  </cols>
  <sheetData>
    <row r="2" spans="2:17" x14ac:dyDescent="0.4">
      <c r="B2" s="11" t="s">
        <v>3</v>
      </c>
      <c r="C2" s="5" t="s">
        <v>0</v>
      </c>
      <c r="D2" s="5" t="s">
        <v>2</v>
      </c>
      <c r="L2" t="s">
        <v>4</v>
      </c>
    </row>
    <row r="3" spans="2:17" ht="15" thickBot="1" x14ac:dyDescent="0.45">
      <c r="B3" s="12">
        <v>-3</v>
      </c>
      <c r="C3" s="5">
        <v>2012</v>
      </c>
      <c r="D3">
        <v>53</v>
      </c>
    </row>
    <row r="4" spans="2:17" x14ac:dyDescent="0.4">
      <c r="B4" s="12">
        <v>-2</v>
      </c>
      <c r="C4" s="5">
        <v>2013</v>
      </c>
      <c r="D4">
        <v>46</v>
      </c>
      <c r="L4" s="10" t="s">
        <v>5</v>
      </c>
      <c r="M4" s="10"/>
    </row>
    <row r="5" spans="2:17" x14ac:dyDescent="0.4">
      <c r="B5" s="12">
        <v>-1</v>
      </c>
      <c r="C5" s="5">
        <v>2014</v>
      </c>
      <c r="D5">
        <v>50</v>
      </c>
      <c r="L5" s="7" t="s">
        <v>6</v>
      </c>
      <c r="M5" s="7">
        <v>0.88560644785807929</v>
      </c>
    </row>
    <row r="6" spans="2:17" x14ac:dyDescent="0.4">
      <c r="B6" s="12">
        <v>0</v>
      </c>
      <c r="C6" s="5">
        <v>2015</v>
      </c>
      <c r="D6">
        <v>71</v>
      </c>
      <c r="L6" s="7" t="s">
        <v>7</v>
      </c>
      <c r="M6" s="7">
        <v>0.78429878048780488</v>
      </c>
    </row>
    <row r="7" spans="2:17" x14ac:dyDescent="0.4">
      <c r="B7" s="12">
        <v>1</v>
      </c>
      <c r="C7" s="5">
        <v>2016</v>
      </c>
      <c r="D7">
        <v>70</v>
      </c>
      <c r="L7" s="7" t="s">
        <v>8</v>
      </c>
      <c r="M7" s="7">
        <v>0.7411585365853659</v>
      </c>
    </row>
    <row r="8" spans="2:17" x14ac:dyDescent="0.4">
      <c r="B8" s="12">
        <v>2</v>
      </c>
      <c r="C8" s="5">
        <v>2017</v>
      </c>
      <c r="D8">
        <v>75</v>
      </c>
      <c r="L8" s="7" t="s">
        <v>9</v>
      </c>
      <c r="M8" s="7">
        <v>6.5153664517047698</v>
      </c>
    </row>
    <row r="9" spans="2:17" ht="15" thickBot="1" x14ac:dyDescent="0.45">
      <c r="B9" s="12">
        <v>3</v>
      </c>
      <c r="C9" s="5">
        <v>2018</v>
      </c>
      <c r="D9">
        <v>76</v>
      </c>
      <c r="L9" s="8" t="s">
        <v>10</v>
      </c>
      <c r="M9" s="8">
        <v>7</v>
      </c>
    </row>
    <row r="10" spans="2:17" x14ac:dyDescent="0.4">
      <c r="B10" s="12">
        <v>4</v>
      </c>
      <c r="C10" s="6">
        <v>2019</v>
      </c>
      <c r="D10">
        <f>ROUND(B10*$M$19+$M$18,0)</f>
        <v>84</v>
      </c>
    </row>
    <row r="11" spans="2:17" ht="15" thickBot="1" x14ac:dyDescent="0.45">
      <c r="B11" s="12">
        <v>5</v>
      </c>
      <c r="C11" s="6">
        <v>2020</v>
      </c>
      <c r="D11">
        <f t="shared" ref="D11:D19" si="0">ROUND(B11*$M$19+$M$18,0)</f>
        <v>89</v>
      </c>
      <c r="L11" t="s">
        <v>11</v>
      </c>
    </row>
    <row r="12" spans="2:17" x14ac:dyDescent="0.4">
      <c r="B12" s="12">
        <v>6</v>
      </c>
      <c r="C12" s="6">
        <v>2021</v>
      </c>
      <c r="D12">
        <f t="shared" si="0"/>
        <v>95</v>
      </c>
      <c r="L12" s="9"/>
      <c r="M12" s="9" t="s">
        <v>16</v>
      </c>
      <c r="N12" s="9" t="s">
        <v>17</v>
      </c>
      <c r="O12" s="9" t="s">
        <v>18</v>
      </c>
      <c r="P12" s="9" t="s">
        <v>19</v>
      </c>
      <c r="Q12" s="9" t="s">
        <v>20</v>
      </c>
    </row>
    <row r="13" spans="2:17" x14ac:dyDescent="0.4">
      <c r="B13" s="12">
        <v>7</v>
      </c>
      <c r="C13" s="6">
        <v>2022</v>
      </c>
      <c r="D13">
        <f t="shared" si="0"/>
        <v>100</v>
      </c>
      <c r="L13" s="7" t="s">
        <v>12</v>
      </c>
      <c r="M13" s="7">
        <v>1</v>
      </c>
      <c r="N13" s="7">
        <v>771.75</v>
      </c>
      <c r="O13" s="7">
        <v>771.75</v>
      </c>
      <c r="P13" s="7">
        <v>18.180212014134273</v>
      </c>
      <c r="Q13" s="7">
        <v>7.9856530693154151E-3</v>
      </c>
    </row>
    <row r="14" spans="2:17" x14ac:dyDescent="0.4">
      <c r="B14" s="12">
        <v>8</v>
      </c>
      <c r="C14" s="6">
        <v>2023</v>
      </c>
      <c r="D14">
        <f t="shared" si="0"/>
        <v>105</v>
      </c>
      <c r="L14" s="7" t="s">
        <v>13</v>
      </c>
      <c r="M14" s="7">
        <v>5</v>
      </c>
      <c r="N14" s="7">
        <v>212.25</v>
      </c>
      <c r="O14" s="7">
        <v>42.45</v>
      </c>
      <c r="P14" s="7"/>
      <c r="Q14" s="7"/>
    </row>
    <row r="15" spans="2:17" ht="15" thickBot="1" x14ac:dyDescent="0.45">
      <c r="B15" s="12">
        <v>9</v>
      </c>
      <c r="C15" s="6">
        <v>2024</v>
      </c>
      <c r="D15">
        <f t="shared" si="0"/>
        <v>110</v>
      </c>
      <c r="L15" s="8" t="s">
        <v>14</v>
      </c>
      <c r="M15" s="8">
        <v>6</v>
      </c>
      <c r="N15" s="8">
        <v>984</v>
      </c>
      <c r="O15" s="8"/>
      <c r="P15" s="8"/>
      <c r="Q15" s="8"/>
    </row>
    <row r="16" spans="2:17" ht="15" thickBot="1" x14ac:dyDescent="0.45">
      <c r="B16" s="12">
        <v>10</v>
      </c>
      <c r="C16" s="6">
        <v>2025</v>
      </c>
      <c r="D16">
        <f t="shared" si="0"/>
        <v>116</v>
      </c>
    </row>
    <row r="17" spans="2:20" x14ac:dyDescent="0.4">
      <c r="B17" s="12">
        <v>11</v>
      </c>
      <c r="C17" s="6">
        <v>2026</v>
      </c>
      <c r="D17">
        <f t="shared" si="0"/>
        <v>121</v>
      </c>
      <c r="L17" s="84"/>
      <c r="M17" s="85" t="s">
        <v>21</v>
      </c>
      <c r="N17" s="85" t="s">
        <v>9</v>
      </c>
      <c r="O17" s="85" t="s">
        <v>22</v>
      </c>
      <c r="P17" s="85" t="s">
        <v>23</v>
      </c>
      <c r="Q17" s="85" t="s">
        <v>24</v>
      </c>
      <c r="R17" s="85" t="s">
        <v>25</v>
      </c>
      <c r="S17" s="85" t="s">
        <v>26</v>
      </c>
      <c r="T17" s="86" t="s">
        <v>27</v>
      </c>
    </row>
    <row r="18" spans="2:20" x14ac:dyDescent="0.4">
      <c r="B18" s="12">
        <v>12</v>
      </c>
      <c r="C18" s="6">
        <v>2027</v>
      </c>
      <c r="D18">
        <f t="shared" si="0"/>
        <v>126</v>
      </c>
      <c r="L18" s="73" t="s">
        <v>15</v>
      </c>
      <c r="M18" s="74">
        <v>63</v>
      </c>
      <c r="N18" s="74">
        <v>2.4625770473805915</v>
      </c>
      <c r="O18" s="74">
        <v>25.582955898582835</v>
      </c>
      <c r="P18" s="74">
        <v>1.7039890492092509E-6</v>
      </c>
      <c r="Q18" s="74">
        <v>56.669744173148544</v>
      </c>
      <c r="R18" s="74">
        <v>69.330255826851456</v>
      </c>
      <c r="S18" s="74">
        <v>56.669744173148544</v>
      </c>
      <c r="T18" s="75">
        <v>69.330255826851456</v>
      </c>
    </row>
    <row r="19" spans="2:20" ht="15" thickBot="1" x14ac:dyDescent="0.45">
      <c r="B19" s="12">
        <v>13</v>
      </c>
      <c r="C19" s="6">
        <v>2028</v>
      </c>
      <c r="D19">
        <f t="shared" si="0"/>
        <v>131</v>
      </c>
      <c r="L19" s="44" t="s">
        <v>28</v>
      </c>
      <c r="M19" s="87">
        <v>5.2500000000000009</v>
      </c>
      <c r="N19" s="87">
        <v>1.2312885236902957</v>
      </c>
      <c r="O19" s="87">
        <v>4.2638259830971394</v>
      </c>
      <c r="P19" s="87">
        <v>7.9856530693153994E-3</v>
      </c>
      <c r="Q19" s="87">
        <v>2.084872086574272</v>
      </c>
      <c r="R19" s="87">
        <v>8.4151279134257297</v>
      </c>
      <c r="S19" s="87">
        <v>2.084872086574272</v>
      </c>
      <c r="T19" s="88">
        <v>8.4151279134257297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8D3B-C08A-4E06-9408-8D11CD604344}">
  <dimension ref="A2:Z18"/>
  <sheetViews>
    <sheetView workbookViewId="0">
      <selection activeCell="B17" sqref="B17"/>
    </sheetView>
  </sheetViews>
  <sheetFormatPr baseColWidth="10" defaultRowHeight="14.6" x14ac:dyDescent="0.4"/>
  <cols>
    <col min="1" max="1" width="26.3828125" bestFit="1" customWidth="1"/>
    <col min="2" max="2" width="17.3046875" bestFit="1" customWidth="1"/>
    <col min="20" max="20" width="12.53515625" bestFit="1" customWidth="1"/>
  </cols>
  <sheetData>
    <row r="2" spans="1:26" x14ac:dyDescent="0.4">
      <c r="A2" s="13" t="s">
        <v>29</v>
      </c>
      <c r="B2" s="13">
        <v>24</v>
      </c>
      <c r="C2" s="13">
        <v>23</v>
      </c>
      <c r="D2" s="13">
        <v>22</v>
      </c>
      <c r="E2" s="13">
        <v>21</v>
      </c>
      <c r="F2" s="13">
        <v>20</v>
      </c>
      <c r="G2" s="13">
        <v>19</v>
      </c>
      <c r="H2" s="13">
        <v>18</v>
      </c>
      <c r="I2" s="13">
        <v>17</v>
      </c>
      <c r="J2" s="13">
        <v>16</v>
      </c>
      <c r="K2" s="13">
        <v>15</v>
      </c>
      <c r="L2" s="13">
        <v>14</v>
      </c>
      <c r="M2" s="13">
        <v>13</v>
      </c>
      <c r="N2" s="13">
        <v>12</v>
      </c>
      <c r="O2" s="13">
        <v>11</v>
      </c>
      <c r="P2" s="13">
        <v>10</v>
      </c>
      <c r="Q2" s="13">
        <v>9</v>
      </c>
      <c r="R2" s="13">
        <v>8</v>
      </c>
      <c r="S2" s="13">
        <v>7</v>
      </c>
      <c r="T2" s="13">
        <v>6</v>
      </c>
      <c r="U2" s="13">
        <v>5</v>
      </c>
      <c r="V2" s="13">
        <v>4</v>
      </c>
      <c r="W2" s="13">
        <v>3</v>
      </c>
      <c r="X2" s="13">
        <v>2</v>
      </c>
      <c r="Y2" s="13">
        <v>1</v>
      </c>
      <c r="Z2" s="13">
        <v>0</v>
      </c>
    </row>
    <row r="3" spans="1:26" x14ac:dyDescent="0.4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4">
      <c r="A4" t="s">
        <v>40</v>
      </c>
      <c r="B4" s="41">
        <f>-Datos!E6</f>
        <v>-20000000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x14ac:dyDescent="0.4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4">
      <c r="A6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>
        <f>-Datos!$E$7/10</f>
        <v>-6000000</v>
      </c>
      <c r="Q6" s="41">
        <f>-Datos!$E$7/10</f>
        <v>-6000000</v>
      </c>
      <c r="R6" s="41">
        <f>-Datos!$E$7/10</f>
        <v>-6000000</v>
      </c>
      <c r="S6" s="41">
        <f>-Datos!$E$7/10</f>
        <v>-6000000</v>
      </c>
      <c r="T6" s="41">
        <f>-Datos!$E$7/10</f>
        <v>-6000000</v>
      </c>
      <c r="U6" s="41">
        <f>-Datos!$E$7/10</f>
        <v>-6000000</v>
      </c>
      <c r="V6" s="41">
        <f>-Datos!$E$7/10</f>
        <v>-6000000</v>
      </c>
      <c r="W6" s="41">
        <f>-Datos!$E$7/10</f>
        <v>-6000000</v>
      </c>
      <c r="X6" s="41">
        <f>-Datos!$E$7/10</f>
        <v>-6000000</v>
      </c>
      <c r="Y6" s="41">
        <f>-Datos!$E$7/10</f>
        <v>-6000000</v>
      </c>
      <c r="Z6" s="41"/>
    </row>
    <row r="7" spans="1:26" x14ac:dyDescent="0.4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x14ac:dyDescent="0.4">
      <c r="A8" t="s">
        <v>42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>
        <f>-Datos!E8*Datos!C8</f>
        <v>-10000000</v>
      </c>
      <c r="U8" s="41"/>
      <c r="V8" s="41"/>
      <c r="W8" s="41"/>
      <c r="X8" s="41"/>
      <c r="Y8" s="41"/>
      <c r="Z8" s="41"/>
    </row>
    <row r="9" spans="1:26" x14ac:dyDescent="0.4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4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4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4">
      <c r="A12" s="54" t="s">
        <v>14</v>
      </c>
      <c r="B12" s="57">
        <f>SUM(B4:B11)</f>
        <v>-20000000</v>
      </c>
      <c r="C12" s="57">
        <f t="shared" ref="C12:Z12" si="0">SUM(C4:C11)</f>
        <v>0</v>
      </c>
      <c r="D12" s="57">
        <f t="shared" si="0"/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-6000000</v>
      </c>
      <c r="Q12" s="57">
        <f t="shared" si="0"/>
        <v>-6000000</v>
      </c>
      <c r="R12" s="57">
        <f t="shared" si="0"/>
        <v>-6000000</v>
      </c>
      <c r="S12" s="57">
        <f t="shared" si="0"/>
        <v>-6000000</v>
      </c>
      <c r="T12" s="57">
        <f t="shared" si="0"/>
        <v>-16000000</v>
      </c>
      <c r="U12" s="57">
        <f t="shared" si="0"/>
        <v>-6000000</v>
      </c>
      <c r="V12" s="57">
        <f t="shared" si="0"/>
        <v>-6000000</v>
      </c>
      <c r="W12" s="57">
        <f t="shared" si="0"/>
        <v>-6000000</v>
      </c>
      <c r="X12" s="57">
        <f t="shared" si="0"/>
        <v>-6000000</v>
      </c>
      <c r="Y12" s="57">
        <f t="shared" si="0"/>
        <v>-6000000</v>
      </c>
      <c r="Z12" s="57">
        <f t="shared" si="0"/>
        <v>0</v>
      </c>
    </row>
    <row r="13" spans="1:26" x14ac:dyDescent="0.4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x14ac:dyDescent="0.4">
      <c r="A14" t="s">
        <v>43</v>
      </c>
      <c r="B14" s="59">
        <f>(1+Datos!C10)^(1/12)-1</f>
        <v>1.02368443581764E-2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4">
      <c r="A15" t="s">
        <v>46</v>
      </c>
      <c r="B15" s="41">
        <f>B4*(1+B14)^B2</f>
        <v>-25538000.00000006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4">
      <c r="A16" t="s">
        <v>47</v>
      </c>
      <c r="B16" s="41">
        <f>-FV(B14,P2,P6,,1)</f>
        <v>-63484058.489519417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4">
      <c r="A17" t="s">
        <v>48</v>
      </c>
      <c r="B17" s="41">
        <f>T8*(1+B14)^T2</f>
        <v>-10630145.812734654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4">
      <c r="A18" s="13" t="s">
        <v>45</v>
      </c>
      <c r="B18" s="58">
        <f>SUM(B15:B17)</f>
        <v>-99652204.302254125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4DDB-3CF5-4137-88C0-CD3455C28FF3}">
  <dimension ref="B1:H23"/>
  <sheetViews>
    <sheetView workbookViewId="0">
      <selection activeCell="B14" sqref="B14"/>
    </sheetView>
  </sheetViews>
  <sheetFormatPr baseColWidth="10" defaultRowHeight="14.6" x14ac:dyDescent="0.4"/>
  <cols>
    <col min="2" max="2" width="16.3828125" bestFit="1" customWidth="1"/>
    <col min="3" max="3" width="12.15234375" customWidth="1"/>
    <col min="4" max="8" width="14.3828125" bestFit="1" customWidth="1"/>
  </cols>
  <sheetData>
    <row r="1" spans="2:8" ht="15" thickBot="1" x14ac:dyDescent="0.45"/>
    <row r="2" spans="2:8" x14ac:dyDescent="0.4">
      <c r="C2" s="65" t="s">
        <v>87</v>
      </c>
      <c r="D2" s="66">
        <f>RATE(Datos!C33,-Datos!C32,Datos!C31)</f>
        <v>0.11999999509682051</v>
      </c>
    </row>
    <row r="3" spans="2:8" x14ac:dyDescent="0.4">
      <c r="C3" s="67" t="s">
        <v>91</v>
      </c>
      <c r="D3" s="68">
        <f>Datos!C33</f>
        <v>5</v>
      </c>
    </row>
    <row r="4" spans="2:8" ht="15" thickBot="1" x14ac:dyDescent="0.45">
      <c r="C4" s="69" t="s">
        <v>92</v>
      </c>
      <c r="D4" s="70">
        <f>Datos!C31</f>
        <v>70000000</v>
      </c>
    </row>
    <row r="5" spans="2:8" x14ac:dyDescent="0.4">
      <c r="D5" s="62">
        <v>1</v>
      </c>
      <c r="E5" s="62">
        <v>2</v>
      </c>
      <c r="F5" s="62">
        <v>3</v>
      </c>
      <c r="G5" s="62">
        <v>4</v>
      </c>
      <c r="H5" s="62">
        <v>5</v>
      </c>
    </row>
    <row r="6" spans="2:8" ht="15" thickBot="1" x14ac:dyDescent="0.45">
      <c r="D6" s="62"/>
      <c r="E6" s="62"/>
      <c r="F6" s="62"/>
      <c r="G6" s="62"/>
      <c r="H6" s="62"/>
    </row>
    <row r="7" spans="2:8" x14ac:dyDescent="0.4">
      <c r="B7" s="65"/>
      <c r="C7" s="71">
        <v>2018</v>
      </c>
      <c r="D7" s="71">
        <v>2019</v>
      </c>
      <c r="E7" s="71">
        <v>2020</v>
      </c>
      <c r="F7" s="71">
        <v>2021</v>
      </c>
      <c r="G7" s="71">
        <v>2022</v>
      </c>
      <c r="H7" s="72">
        <v>2023</v>
      </c>
    </row>
    <row r="8" spans="2:8" x14ac:dyDescent="0.4">
      <c r="B8" s="73"/>
      <c r="C8" s="74"/>
      <c r="D8" s="74"/>
      <c r="E8" s="74"/>
      <c r="F8" s="74"/>
      <c r="G8" s="74"/>
      <c r="H8" s="75"/>
    </row>
    <row r="9" spans="2:8" ht="15" thickBot="1" x14ac:dyDescent="0.45">
      <c r="B9" s="73" t="s">
        <v>97</v>
      </c>
      <c r="C9" s="76"/>
      <c r="D9" s="76">
        <f>IPMT($D$2,D5,$D$3,$D$4)</f>
        <v>-8399999.6567774359</v>
      </c>
      <c r="E9" s="76">
        <f t="shared" ref="E9:H9" si="0">IPMT($D$2,E5,$D$3,$D$4)</f>
        <v>-7077757.949617302</v>
      </c>
      <c r="F9" s="76">
        <f t="shared" si="0"/>
        <v>-5596847.2440811396</v>
      </c>
      <c r="G9" s="76">
        <f t="shared" si="0"/>
        <v>-3938227.2611418092</v>
      </c>
      <c r="H9" s="77">
        <f t="shared" si="0"/>
        <v>-2080572.8883822705</v>
      </c>
    </row>
    <row r="10" spans="2:8" ht="15" thickBot="1" x14ac:dyDescent="0.45">
      <c r="B10" s="89" t="s">
        <v>88</v>
      </c>
      <c r="C10" s="90"/>
      <c r="D10" s="90">
        <f>-Datos!$C$17*Deuda!D9</f>
        <v>2267999.9073299076</v>
      </c>
      <c r="E10" s="90">
        <f>-Datos!$C$17*Deuda!E9</f>
        <v>1910994.6463966717</v>
      </c>
      <c r="F10" s="90">
        <f>-Datos!$C$17*Deuda!F9</f>
        <v>1511148.7559019078</v>
      </c>
      <c r="G10" s="90">
        <f>-Datos!$C$17*Deuda!G9</f>
        <v>1063321.3605082885</v>
      </c>
      <c r="H10" s="91">
        <f>-Datos!$C$17*Deuda!H9</f>
        <v>561754.6798632131</v>
      </c>
    </row>
    <row r="11" spans="2:8" x14ac:dyDescent="0.4">
      <c r="B11" s="73" t="s">
        <v>89</v>
      </c>
      <c r="C11" s="76"/>
      <c r="D11" s="76">
        <f>SUM(D9:D10)</f>
        <v>-6131999.7494475283</v>
      </c>
      <c r="E11" s="76">
        <f t="shared" ref="E11:H11" si="1">SUM(E9:E10)</f>
        <v>-5166763.3032206306</v>
      </c>
      <c r="F11" s="76">
        <f t="shared" si="1"/>
        <v>-4085698.488179232</v>
      </c>
      <c r="G11" s="76">
        <f t="shared" si="1"/>
        <v>-2874905.9006335204</v>
      </c>
      <c r="H11" s="77">
        <f t="shared" si="1"/>
        <v>-1518818.2085190574</v>
      </c>
    </row>
    <row r="12" spans="2:8" x14ac:dyDescent="0.4">
      <c r="B12" s="73"/>
      <c r="C12" s="76"/>
      <c r="D12" s="76"/>
      <c r="E12" s="76"/>
      <c r="F12" s="76"/>
      <c r="G12" s="76"/>
      <c r="H12" s="77"/>
    </row>
    <row r="13" spans="2:8" x14ac:dyDescent="0.4">
      <c r="B13" s="73" t="s">
        <v>98</v>
      </c>
      <c r="C13" s="76"/>
      <c r="D13" s="76">
        <f>PPMT($D$2,D5,$D$3,$D$4)</f>
        <v>-11018681.343222555</v>
      </c>
      <c r="E13" s="76">
        <f t="shared" ref="E13:H13" si="2">PPMT($D$2,E5,$D$3,$D$4)</f>
        <v>-12340923.050382691</v>
      </c>
      <c r="F13" s="76">
        <f t="shared" si="2"/>
        <v>-13821833.755918851</v>
      </c>
      <c r="G13" s="76">
        <f t="shared" si="2"/>
        <v>-15480453.738858182</v>
      </c>
      <c r="H13" s="77">
        <f t="shared" si="2"/>
        <v>-17338108.111617722</v>
      </c>
    </row>
    <row r="14" spans="2:8" x14ac:dyDescent="0.4">
      <c r="B14" s="73"/>
      <c r="C14" s="76"/>
      <c r="D14" s="76"/>
      <c r="E14" s="76"/>
      <c r="F14" s="76"/>
      <c r="G14" s="76"/>
      <c r="H14" s="77"/>
    </row>
    <row r="15" spans="2:8" x14ac:dyDescent="0.4">
      <c r="B15" s="73" t="s">
        <v>92</v>
      </c>
      <c r="C15" s="76">
        <f>D4</f>
        <v>70000000</v>
      </c>
      <c r="D15" s="76"/>
      <c r="E15" s="76"/>
      <c r="F15" s="76"/>
      <c r="G15" s="76"/>
      <c r="H15" s="77"/>
    </row>
    <row r="16" spans="2:8" ht="15" thickBot="1" x14ac:dyDescent="0.45">
      <c r="B16" s="73"/>
      <c r="C16" s="76"/>
      <c r="D16" s="76"/>
      <c r="E16" s="76"/>
      <c r="F16" s="76"/>
      <c r="G16" s="76"/>
      <c r="H16" s="77"/>
    </row>
    <row r="17" spans="2:8" ht="15" thickBot="1" x14ac:dyDescent="0.45">
      <c r="B17" s="89" t="s">
        <v>90</v>
      </c>
      <c r="C17" s="90">
        <f>C15</f>
        <v>70000000</v>
      </c>
      <c r="D17" s="90">
        <f>SUM(D11:D13)</f>
        <v>-17150681.092670083</v>
      </c>
      <c r="E17" s="90">
        <f t="shared" ref="E17:H17" si="3">SUM(E11:E13)</f>
        <v>-17507686.353603322</v>
      </c>
      <c r="F17" s="90">
        <f t="shared" si="3"/>
        <v>-17907532.244098082</v>
      </c>
      <c r="G17" s="90">
        <f t="shared" si="3"/>
        <v>-18355359.639491703</v>
      </c>
      <c r="H17" s="91">
        <f t="shared" si="3"/>
        <v>-18856926.320136778</v>
      </c>
    </row>
    <row r="18" spans="2:8" x14ac:dyDescent="0.4">
      <c r="C18" s="41"/>
      <c r="D18" s="41"/>
      <c r="E18" s="41"/>
      <c r="F18" s="41"/>
      <c r="G18" s="41"/>
      <c r="H18" s="41"/>
    </row>
    <row r="19" spans="2:8" ht="15" thickBot="1" x14ac:dyDescent="0.45">
      <c r="C19" s="41"/>
      <c r="D19" s="41"/>
      <c r="E19" s="41"/>
      <c r="F19" s="41"/>
      <c r="G19" s="41"/>
      <c r="H19" s="41"/>
    </row>
    <row r="20" spans="2:8" ht="15" thickBot="1" x14ac:dyDescent="0.45">
      <c r="B20" s="79" t="s">
        <v>95</v>
      </c>
      <c r="C20" s="80">
        <f>C17+NPV(D2,D17:H17)</f>
        <v>5618553.6799359247</v>
      </c>
      <c r="D20" s="41"/>
      <c r="E20" s="41"/>
      <c r="F20" s="41"/>
      <c r="G20" s="41"/>
      <c r="H20" s="41"/>
    </row>
    <row r="23" spans="2:8" x14ac:dyDescent="0.4">
      <c r="E23" s="9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BFD1-B984-4FE9-B9C8-547E58785491}">
  <dimension ref="B2:AB45"/>
  <sheetViews>
    <sheetView tabSelected="1" topLeftCell="A11" workbookViewId="0">
      <selection activeCell="M34" sqref="M34"/>
    </sheetView>
  </sheetViews>
  <sheetFormatPr baseColWidth="10" defaultRowHeight="14.6" x14ac:dyDescent="0.4"/>
  <cols>
    <col min="2" max="2" width="33.15234375" bestFit="1" customWidth="1"/>
    <col min="3" max="3" width="16.3046875" bestFit="1" customWidth="1"/>
    <col min="4" max="11" width="15.15234375" bestFit="1" customWidth="1"/>
    <col min="12" max="13" width="16.3046875" bestFit="1" customWidth="1"/>
    <col min="14" max="14" width="13" customWidth="1"/>
    <col min="18" max="18" width="15.53515625" bestFit="1" customWidth="1"/>
    <col min="19" max="28" width="12.53515625" bestFit="1" customWidth="1"/>
  </cols>
  <sheetData>
    <row r="2" spans="2:28" x14ac:dyDescent="0.4">
      <c r="B2" s="5"/>
      <c r="C2" s="13">
        <v>2018</v>
      </c>
      <c r="D2" s="13">
        <v>2019</v>
      </c>
      <c r="E2" s="13">
        <v>2020</v>
      </c>
      <c r="F2" s="13">
        <v>2021</v>
      </c>
      <c r="G2" s="13">
        <v>2022</v>
      </c>
      <c r="H2" s="13">
        <v>2023</v>
      </c>
      <c r="I2" s="13">
        <v>2024</v>
      </c>
      <c r="J2" s="13">
        <v>2025</v>
      </c>
      <c r="K2" s="13">
        <v>2026</v>
      </c>
      <c r="L2" s="13">
        <v>2027</v>
      </c>
      <c r="M2" s="13">
        <v>2028</v>
      </c>
    </row>
    <row r="3" spans="2:28" x14ac:dyDescent="0.4">
      <c r="B3" t="s">
        <v>94</v>
      </c>
      <c r="C3" s="40"/>
      <c r="D3" s="41">
        <f>Demanda!D10*Datos!$C$11</f>
        <v>105000000</v>
      </c>
      <c r="E3" s="41">
        <f>Demanda!D11*Datos!$C$11</f>
        <v>111250000</v>
      </c>
      <c r="F3" s="41">
        <f>Demanda!D12*Datos!$C$11</f>
        <v>118750000</v>
      </c>
      <c r="G3" s="41">
        <f>Demanda!D13*Datos!$C$11</f>
        <v>125000000</v>
      </c>
      <c r="H3" s="41">
        <f>Demanda!D14*Datos!$C$11</f>
        <v>131250000</v>
      </c>
      <c r="I3" s="41">
        <f>Demanda!D15*Datos!$C$11</f>
        <v>137500000</v>
      </c>
      <c r="J3" s="41">
        <f>Demanda!D16*Datos!$C$11</f>
        <v>145000000</v>
      </c>
      <c r="K3" s="41">
        <f>Demanda!D17*Datos!$C$11</f>
        <v>151250000</v>
      </c>
      <c r="L3" s="41">
        <f>Demanda!D18*Datos!$C$11</f>
        <v>157500000</v>
      </c>
      <c r="M3" s="41">
        <f>Demanda!D19*Datos!$C$11</f>
        <v>163750000</v>
      </c>
      <c r="N3" s="38"/>
    </row>
    <row r="4" spans="2:28" x14ac:dyDescent="0.4">
      <c r="B4" t="s">
        <v>73</v>
      </c>
      <c r="C4" s="40"/>
      <c r="D4" s="40">
        <f>-SUM(Datos!$C$24:$C$28)*Demanda!D10</f>
        <v>-67956000</v>
      </c>
      <c r="E4" s="40">
        <f>-SUM(Datos!$C$24:$C$28)*Demanda!D11</f>
        <v>-72001000</v>
      </c>
      <c r="F4" s="40">
        <f>-SUM(Datos!$C$24:$C$28)*Demanda!D12</f>
        <v>-76855000</v>
      </c>
      <c r="G4" s="40">
        <f>-SUM(Datos!$C$24:$C$28)*Demanda!D13</f>
        <v>-80900000</v>
      </c>
      <c r="H4" s="40">
        <f>-SUM(Datos!$C$24:$C$28)*Demanda!D14</f>
        <v>-84945000</v>
      </c>
      <c r="I4" s="40">
        <f>-SUM(Datos!$C$24:$C$28)*Demanda!D15</f>
        <v>-88990000</v>
      </c>
      <c r="J4" s="40">
        <f>-SUM(Datos!$C$24:$C$28)*Demanda!D16</f>
        <v>-93844000</v>
      </c>
      <c r="K4" s="40">
        <f>-SUM(Datos!$C$24:$C$28)*Demanda!D17</f>
        <v>-97889000</v>
      </c>
      <c r="L4" s="40">
        <f>-SUM(Datos!$C$24:$C$28)*Demanda!D18</f>
        <v>-101934000</v>
      </c>
      <c r="M4" s="40">
        <f>-SUM(Datos!$C$24:$C$28)*Demanda!D19</f>
        <v>-105979000</v>
      </c>
      <c r="N4" s="18"/>
      <c r="R4" s="5"/>
      <c r="S4" s="5">
        <v>2018</v>
      </c>
      <c r="T4" s="5">
        <v>2019</v>
      </c>
      <c r="U4" s="5">
        <v>2020</v>
      </c>
      <c r="V4" s="5">
        <v>2021</v>
      </c>
      <c r="W4" s="5">
        <v>2022</v>
      </c>
      <c r="X4" s="5">
        <v>2023</v>
      </c>
      <c r="Y4" s="5">
        <v>2024</v>
      </c>
      <c r="Z4" s="5">
        <v>2025</v>
      </c>
      <c r="AA4" s="5">
        <v>2026</v>
      </c>
      <c r="AB4" s="5">
        <v>2027</v>
      </c>
    </row>
    <row r="5" spans="2:28" x14ac:dyDescent="0.4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28" x14ac:dyDescent="0.4">
      <c r="B6" s="53" t="s">
        <v>74</v>
      </c>
      <c r="C6" s="50"/>
      <c r="D6" s="51">
        <f>SUM(D3:D4)</f>
        <v>37044000</v>
      </c>
      <c r="E6" s="51">
        <f t="shared" ref="E6:M6" si="0">SUM(E3:E4)</f>
        <v>39249000</v>
      </c>
      <c r="F6" s="51">
        <f t="shared" si="0"/>
        <v>41895000</v>
      </c>
      <c r="G6" s="51">
        <f t="shared" si="0"/>
        <v>44100000</v>
      </c>
      <c r="H6" s="51">
        <f t="shared" si="0"/>
        <v>46305000</v>
      </c>
      <c r="I6" s="51">
        <f t="shared" si="0"/>
        <v>48510000</v>
      </c>
      <c r="J6" s="51">
        <f t="shared" si="0"/>
        <v>51156000</v>
      </c>
      <c r="K6" s="51">
        <f t="shared" si="0"/>
        <v>53361000</v>
      </c>
      <c r="L6" s="51">
        <f t="shared" si="0"/>
        <v>55566000</v>
      </c>
      <c r="M6" s="51">
        <f t="shared" si="0"/>
        <v>57771000</v>
      </c>
      <c r="N6" s="38"/>
      <c r="R6" t="s">
        <v>82</v>
      </c>
      <c r="S6" s="41">
        <f>Datos!$C$15*Flujo!D4</f>
        <v>-10193400</v>
      </c>
      <c r="T6" s="41">
        <f>Datos!$C$15*Flujo!E4</f>
        <v>-10800150</v>
      </c>
      <c r="U6" s="41">
        <f>Datos!$C$15*Flujo!F4</f>
        <v>-11528250</v>
      </c>
      <c r="V6" s="41">
        <f>Datos!$C$15*Flujo!G4</f>
        <v>-12135000</v>
      </c>
      <c r="W6" s="41">
        <f>Datos!$C$15*Flujo!H4</f>
        <v>-12741750</v>
      </c>
      <c r="X6" s="41">
        <f>Datos!$C$15*Flujo!I4</f>
        <v>-13348500</v>
      </c>
      <c r="Y6" s="41">
        <f>Datos!$C$15*Flujo!J4</f>
        <v>-14076600</v>
      </c>
      <c r="Z6" s="41">
        <f>Datos!$C$15*Flujo!K4</f>
        <v>-14683350</v>
      </c>
      <c r="AA6" s="41">
        <f>Datos!$C$15*Flujo!L4</f>
        <v>-15290100</v>
      </c>
      <c r="AB6" s="41">
        <f>Datos!$C$15*Flujo!M4</f>
        <v>-15896850</v>
      </c>
    </row>
    <row r="7" spans="2:28" x14ac:dyDescent="0.4">
      <c r="B7" s="49"/>
      <c r="C7" s="50"/>
      <c r="D7" s="52">
        <f>D6/D3</f>
        <v>0.3528</v>
      </c>
      <c r="E7" s="52">
        <f t="shared" ref="E7:M7" si="1">E6/E3</f>
        <v>0.3528</v>
      </c>
      <c r="F7" s="52">
        <f t="shared" si="1"/>
        <v>0.3528</v>
      </c>
      <c r="G7" s="52">
        <f t="shared" si="1"/>
        <v>0.3528</v>
      </c>
      <c r="H7" s="52">
        <f t="shared" si="1"/>
        <v>0.3528</v>
      </c>
      <c r="I7" s="52">
        <f t="shared" si="1"/>
        <v>0.3528</v>
      </c>
      <c r="J7" s="52">
        <f t="shared" si="1"/>
        <v>0.3528</v>
      </c>
      <c r="K7" s="52">
        <f t="shared" si="1"/>
        <v>0.3528</v>
      </c>
      <c r="L7" s="52">
        <f t="shared" si="1"/>
        <v>0.3528</v>
      </c>
      <c r="M7" s="52">
        <f t="shared" si="1"/>
        <v>0.3528</v>
      </c>
      <c r="N7" s="37"/>
      <c r="R7" t="s">
        <v>83</v>
      </c>
      <c r="S7" s="41">
        <f>S6</f>
        <v>-10193400</v>
      </c>
      <c r="T7" s="41">
        <f>T6-S6</f>
        <v>-606750</v>
      </c>
      <c r="U7" s="41">
        <f t="shared" ref="U7:AB7" si="2">U6-T6</f>
        <v>-728100</v>
      </c>
      <c r="V7" s="41">
        <f t="shared" si="2"/>
        <v>-606750</v>
      </c>
      <c r="W7" s="41">
        <f t="shared" si="2"/>
        <v>-606750</v>
      </c>
      <c r="X7" s="41">
        <f t="shared" si="2"/>
        <v>-606750</v>
      </c>
      <c r="Y7" s="41">
        <f t="shared" si="2"/>
        <v>-728100</v>
      </c>
      <c r="Z7" s="41">
        <f t="shared" si="2"/>
        <v>-606750</v>
      </c>
      <c r="AA7" s="41">
        <f t="shared" si="2"/>
        <v>-606750</v>
      </c>
      <c r="AB7" s="41">
        <f t="shared" si="2"/>
        <v>-606750</v>
      </c>
    </row>
    <row r="8" spans="2:28" x14ac:dyDescent="0.4">
      <c r="C8" s="40"/>
      <c r="D8" s="42"/>
      <c r="E8" s="42"/>
      <c r="F8" s="42"/>
      <c r="G8" s="42"/>
      <c r="H8" s="42"/>
      <c r="I8" s="42"/>
      <c r="J8" s="42"/>
      <c r="K8" s="42"/>
      <c r="L8" s="42"/>
      <c r="M8" s="42"/>
      <c r="N8" s="37"/>
    </row>
    <row r="9" spans="2:28" x14ac:dyDescent="0.4">
      <c r="B9" t="s">
        <v>59</v>
      </c>
      <c r="C9" s="40"/>
      <c r="D9" s="41">
        <f>-Datos!$C$13*12</f>
        <v>-12000000</v>
      </c>
      <c r="E9" s="41">
        <f>-Datos!$C$13*12</f>
        <v>-12000000</v>
      </c>
      <c r="F9" s="41">
        <f>-Datos!$C$13*12</f>
        <v>-12000000</v>
      </c>
      <c r="G9" s="41">
        <f>-Datos!$C$13*12</f>
        <v>-12000000</v>
      </c>
      <c r="H9" s="41">
        <f>-Datos!$C$13*12</f>
        <v>-12000000</v>
      </c>
      <c r="I9" s="41">
        <f>-Datos!$C$13*12</f>
        <v>-12000000</v>
      </c>
      <c r="J9" s="41">
        <f>-Datos!$C$13*12</f>
        <v>-12000000</v>
      </c>
      <c r="K9" s="41">
        <f>-Datos!$C$13*12</f>
        <v>-12000000</v>
      </c>
      <c r="L9" s="41">
        <f>-Datos!$C$13*12</f>
        <v>-12000000</v>
      </c>
      <c r="M9" s="41">
        <f>-Datos!$C$13*12</f>
        <v>-12000000</v>
      </c>
      <c r="N9" s="38"/>
    </row>
    <row r="10" spans="2:28" x14ac:dyDescent="0.4">
      <c r="B10" t="s">
        <v>75</v>
      </c>
      <c r="C10" s="40"/>
      <c r="D10" s="41">
        <f>-Datos!$C$12*12</f>
        <v>-1200000</v>
      </c>
      <c r="E10" s="41">
        <f>-Datos!$C$12*12</f>
        <v>-1200000</v>
      </c>
      <c r="F10" s="41">
        <f>-Datos!$C$12*12</f>
        <v>-1200000</v>
      </c>
      <c r="G10" s="41">
        <f>-Datos!$C$12*12</f>
        <v>-1200000</v>
      </c>
      <c r="H10" s="41">
        <f>-Datos!$C$12*12</f>
        <v>-1200000</v>
      </c>
      <c r="I10" s="41">
        <f>-Datos!$C$12*12</f>
        <v>-1200000</v>
      </c>
      <c r="J10" s="41">
        <f>-Datos!$C$12*12</f>
        <v>-1200000</v>
      </c>
      <c r="K10" s="41">
        <f>-Datos!$C$12*12</f>
        <v>-1200000</v>
      </c>
      <c r="L10" s="41">
        <f>-Datos!$C$12*12</f>
        <v>-1200000</v>
      </c>
      <c r="M10" s="41">
        <f>-Datos!$C$12*12</f>
        <v>-1200000</v>
      </c>
      <c r="N10" s="38"/>
    </row>
    <row r="11" spans="2:28" x14ac:dyDescent="0.4">
      <c r="B11" t="s">
        <v>60</v>
      </c>
      <c r="C11" s="40"/>
      <c r="D11" s="41">
        <f>-Datos!$C$14*12</f>
        <v>-840000</v>
      </c>
      <c r="E11" s="41">
        <f>-Datos!$C$14*12</f>
        <v>-840000</v>
      </c>
      <c r="F11" s="41">
        <f>-Datos!$C$14*12</f>
        <v>-840000</v>
      </c>
      <c r="G11" s="41">
        <f>-Datos!$C$14*12</f>
        <v>-840000</v>
      </c>
      <c r="H11" s="41">
        <f>-Datos!$C$14*12</f>
        <v>-840000</v>
      </c>
      <c r="I11" s="41">
        <f>-Datos!$C$14*12</f>
        <v>-840000</v>
      </c>
      <c r="J11" s="41">
        <f>-Datos!$C$14*12</f>
        <v>-840000</v>
      </c>
      <c r="K11" s="41">
        <f>-Datos!$C$14*12</f>
        <v>-840000</v>
      </c>
      <c r="L11" s="41">
        <f>-Datos!$C$14*12</f>
        <v>-840000</v>
      </c>
      <c r="M11" s="41">
        <f>-Datos!$C$14*12</f>
        <v>-840000</v>
      </c>
      <c r="N11" s="38"/>
    </row>
    <row r="12" spans="2:28" x14ac:dyDescent="0.4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28" x14ac:dyDescent="0.4">
      <c r="B13" s="53" t="s">
        <v>76</v>
      </c>
      <c r="C13" s="50"/>
      <c r="D13" s="51">
        <f>D6+SUM(D9:D11)</f>
        <v>23004000</v>
      </c>
      <c r="E13" s="51">
        <f t="shared" ref="E13:M13" si="3">E6+SUM(E9:E11)</f>
        <v>25209000</v>
      </c>
      <c r="F13" s="51">
        <f t="shared" si="3"/>
        <v>27855000</v>
      </c>
      <c r="G13" s="51">
        <f t="shared" si="3"/>
        <v>30060000</v>
      </c>
      <c r="H13" s="51">
        <f t="shared" si="3"/>
        <v>32265000</v>
      </c>
      <c r="I13" s="51">
        <f t="shared" si="3"/>
        <v>34470000</v>
      </c>
      <c r="J13" s="51">
        <f t="shared" si="3"/>
        <v>37116000</v>
      </c>
      <c r="K13" s="51">
        <f t="shared" si="3"/>
        <v>39321000</v>
      </c>
      <c r="L13" s="51">
        <f t="shared" si="3"/>
        <v>41526000</v>
      </c>
      <c r="M13" s="51">
        <f t="shared" si="3"/>
        <v>43731000</v>
      </c>
      <c r="N13" s="38"/>
    </row>
    <row r="14" spans="2:28" x14ac:dyDescent="0.4">
      <c r="B14" s="49"/>
      <c r="C14" s="50"/>
      <c r="D14" s="52">
        <f>D13/D3</f>
        <v>0.21908571428571427</v>
      </c>
      <c r="E14" s="52">
        <f t="shared" ref="E14:M14" si="4">E13/E3</f>
        <v>0.22659775280898875</v>
      </c>
      <c r="F14" s="52">
        <f t="shared" si="4"/>
        <v>0.23456842105263159</v>
      </c>
      <c r="G14" s="52">
        <f t="shared" si="4"/>
        <v>0.24048</v>
      </c>
      <c r="H14" s="52">
        <f t="shared" si="4"/>
        <v>0.24582857142857142</v>
      </c>
      <c r="I14" s="52">
        <f t="shared" si="4"/>
        <v>0.25069090909090908</v>
      </c>
      <c r="J14" s="52">
        <f t="shared" si="4"/>
        <v>0.25597241379310343</v>
      </c>
      <c r="K14" s="52">
        <f t="shared" si="4"/>
        <v>0.25997355371900827</v>
      </c>
      <c r="L14" s="52">
        <f t="shared" si="4"/>
        <v>0.26365714285714287</v>
      </c>
      <c r="M14" s="52">
        <f t="shared" si="4"/>
        <v>0.26705954198473281</v>
      </c>
      <c r="N14" s="37"/>
    </row>
    <row r="15" spans="2:28" x14ac:dyDescent="0.4">
      <c r="B15" t="s">
        <v>77</v>
      </c>
      <c r="C15" s="40"/>
      <c r="D15" s="40">
        <f>-Datos!$C$8*Datos!$E$8/Datos!$C$19</f>
        <v>-1428571.4285714286</v>
      </c>
      <c r="E15" s="40">
        <f>-Datos!$C$8*Datos!$E$8/Datos!$C$19</f>
        <v>-1428571.4285714286</v>
      </c>
      <c r="F15" s="40">
        <f>-Datos!$C$8*Datos!$E$8/Datos!$C$19</f>
        <v>-1428571.4285714286</v>
      </c>
      <c r="G15" s="40">
        <f>-Datos!$C$8*Datos!$E$8/Datos!$C$19</f>
        <v>-1428571.4285714286</v>
      </c>
      <c r="H15" s="40">
        <f>-Datos!$C$8*Datos!$E$8/Datos!$C$19</f>
        <v>-1428571.4285714286</v>
      </c>
      <c r="I15" s="40">
        <f>-Datos!$C$8*Datos!$E$8/Datos!$C$19</f>
        <v>-1428571.4285714286</v>
      </c>
      <c r="J15" s="40">
        <f>-Datos!$C$8*Datos!$E$8/Datos!$C$19</f>
        <v>-1428571.4285714286</v>
      </c>
      <c r="K15" s="40">
        <v>0</v>
      </c>
      <c r="L15" s="40">
        <v>0</v>
      </c>
      <c r="M15" s="40">
        <f>J15</f>
        <v>-1428571.4285714286</v>
      </c>
      <c r="N15" s="18"/>
    </row>
    <row r="16" spans="2:28" x14ac:dyDescent="0.4">
      <c r="B16" t="s">
        <v>70</v>
      </c>
      <c r="C16" s="40"/>
      <c r="D16" s="40">
        <f>-Datos!$E$7/Datos!$C$18</f>
        <v>-6000000</v>
      </c>
      <c r="E16" s="40">
        <f>-Datos!$E$7/Datos!$C$18</f>
        <v>-6000000</v>
      </c>
      <c r="F16" s="40">
        <f>-Datos!$E$7/Datos!$C$18</f>
        <v>-6000000</v>
      </c>
      <c r="G16" s="40">
        <f>-Datos!$E$7/Datos!$C$18</f>
        <v>-6000000</v>
      </c>
      <c r="H16" s="40">
        <f>-Datos!$E$7/Datos!$C$18</f>
        <v>-6000000</v>
      </c>
      <c r="I16" s="40">
        <f>-Datos!$E$7/Datos!$C$18</f>
        <v>-6000000</v>
      </c>
      <c r="J16" s="40">
        <f>-Datos!$E$7/Datos!$C$18</f>
        <v>-6000000</v>
      </c>
      <c r="K16" s="40">
        <f>-Datos!$E$7/Datos!$C$18</f>
        <v>-6000000</v>
      </c>
      <c r="L16" s="40">
        <f>-Datos!$E$7/Datos!$C$18</f>
        <v>-6000000</v>
      </c>
      <c r="M16" s="40">
        <f>-Datos!$E$7/Datos!$C$18</f>
        <v>-6000000</v>
      </c>
      <c r="N16" s="18"/>
    </row>
    <row r="17" spans="2:14" x14ac:dyDescent="0.4"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2:14" x14ac:dyDescent="0.4">
      <c r="B18" s="63" t="s">
        <v>93</v>
      </c>
      <c r="C18" s="64"/>
      <c r="D18" s="64">
        <f>-(D13+SUM(D15:D16))*Datos!$C$17</f>
        <v>-4205365.7142857146</v>
      </c>
      <c r="E18" s="64">
        <f>-(E13+SUM(E15:E16))*Datos!$C$17</f>
        <v>-4800715.7142857146</v>
      </c>
      <c r="F18" s="64">
        <f>-(F13+SUM(F15:F16))*Datos!$C$17</f>
        <v>-5515135.7142857146</v>
      </c>
      <c r="G18" s="64">
        <f>-(G13+SUM(G15:G16))*Datos!$C$17</f>
        <v>-6110485.7142857146</v>
      </c>
      <c r="H18" s="64">
        <f>-(H13+SUM(H15:H16))*Datos!$C$17</f>
        <v>-6705835.7142857146</v>
      </c>
      <c r="I18" s="64">
        <f>-(I13+SUM(I15:I16))*Datos!$C$17</f>
        <v>-7301185.7142857146</v>
      </c>
      <c r="J18" s="64">
        <f>-(J13+SUM(J15:J16))*Datos!$C$17</f>
        <v>-8015605.7142857146</v>
      </c>
      <c r="K18" s="64">
        <f>-(K13+SUM(K15:K16))*Datos!$C$17</f>
        <v>-8996670</v>
      </c>
      <c r="L18" s="64">
        <f>-(L13+SUM(L15:L16))*Datos!$C$17</f>
        <v>-9592020</v>
      </c>
      <c r="M18" s="64">
        <f>-(M13+SUM(M15:M16))*Datos!$C$17</f>
        <v>-9801655.7142857146</v>
      </c>
    </row>
    <row r="19" spans="2:14" x14ac:dyDescent="0.4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2:14" x14ac:dyDescent="0.4">
      <c r="B20" s="53" t="s">
        <v>78</v>
      </c>
      <c r="C20" s="50"/>
      <c r="D20" s="50">
        <f>D13+SUM(D15:D18)</f>
        <v>11370062.857142856</v>
      </c>
      <c r="E20" s="50">
        <f t="shared" ref="E20:M20" si="5">E13+SUM(E15:E18)</f>
        <v>12979712.857142856</v>
      </c>
      <c r="F20" s="50">
        <f t="shared" si="5"/>
        <v>14911292.857142856</v>
      </c>
      <c r="G20" s="50">
        <f t="shared" si="5"/>
        <v>16520942.857142856</v>
      </c>
      <c r="H20" s="50">
        <f t="shared" si="5"/>
        <v>18130592.857142858</v>
      </c>
      <c r="I20" s="50">
        <f t="shared" si="5"/>
        <v>19740242.857142858</v>
      </c>
      <c r="J20" s="50">
        <f t="shared" si="5"/>
        <v>21671822.857142858</v>
      </c>
      <c r="K20" s="50">
        <f t="shared" si="5"/>
        <v>24324330</v>
      </c>
      <c r="L20" s="50">
        <f t="shared" si="5"/>
        <v>25933980</v>
      </c>
      <c r="M20" s="50">
        <f t="shared" si="5"/>
        <v>26500772.857142858</v>
      </c>
      <c r="N20" s="18"/>
    </row>
    <row r="21" spans="2:14" x14ac:dyDescent="0.4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2:14" x14ac:dyDescent="0.4">
      <c r="B22" s="54" t="s">
        <v>79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2:14" x14ac:dyDescent="0.4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2:14" x14ac:dyDescent="0.4">
      <c r="B24" t="s">
        <v>80</v>
      </c>
      <c r="C24" s="40">
        <f>Calendario!B18</f>
        <v>-99652204.302254125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2:14" x14ac:dyDescent="0.4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4" x14ac:dyDescent="0.4">
      <c r="B26" t="s">
        <v>99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>
        <f>-Datos!E8*Datos!C8</f>
        <v>-10000000</v>
      </c>
      <c r="N26" s="18"/>
    </row>
    <row r="27" spans="2:14" x14ac:dyDescent="0.4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4" x14ac:dyDescent="0.4">
      <c r="B28" t="s">
        <v>63</v>
      </c>
      <c r="C28" s="40">
        <f>S7</f>
        <v>-10193400</v>
      </c>
      <c r="D28" s="40">
        <f t="shared" ref="D28:L28" si="6">T7</f>
        <v>-606750</v>
      </c>
      <c r="E28" s="40">
        <f t="shared" si="6"/>
        <v>-728100</v>
      </c>
      <c r="F28" s="40">
        <f t="shared" si="6"/>
        <v>-606750</v>
      </c>
      <c r="G28" s="40">
        <f t="shared" si="6"/>
        <v>-606750</v>
      </c>
      <c r="H28" s="40">
        <f t="shared" si="6"/>
        <v>-606750</v>
      </c>
      <c r="I28" s="40">
        <f t="shared" si="6"/>
        <v>-728100</v>
      </c>
      <c r="J28" s="40">
        <f t="shared" si="6"/>
        <v>-606750</v>
      </c>
      <c r="K28" s="40">
        <f t="shared" si="6"/>
        <v>-606750</v>
      </c>
      <c r="L28" s="40">
        <f t="shared" si="6"/>
        <v>-606750</v>
      </c>
      <c r="M28" s="40"/>
      <c r="N28" s="18"/>
    </row>
    <row r="29" spans="2:14" x14ac:dyDescent="0.4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4" x14ac:dyDescent="0.4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2:14" x14ac:dyDescent="0.4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4" x14ac:dyDescent="0.4">
      <c r="B32" t="s">
        <v>77</v>
      </c>
      <c r="C32" s="40"/>
      <c r="D32" s="40">
        <f>-D15</f>
        <v>1428571.4285714286</v>
      </c>
      <c r="E32" s="40">
        <f t="shared" ref="E32:M32" si="7">-E15</f>
        <v>1428571.4285714286</v>
      </c>
      <c r="F32" s="40">
        <f t="shared" si="7"/>
        <v>1428571.4285714286</v>
      </c>
      <c r="G32" s="40">
        <f t="shared" si="7"/>
        <v>1428571.4285714286</v>
      </c>
      <c r="H32" s="40">
        <f t="shared" si="7"/>
        <v>1428571.4285714286</v>
      </c>
      <c r="I32" s="40">
        <f t="shared" si="7"/>
        <v>1428571.4285714286</v>
      </c>
      <c r="J32" s="40">
        <f t="shared" si="7"/>
        <v>1428571.4285714286</v>
      </c>
      <c r="K32" s="40">
        <f t="shared" si="7"/>
        <v>0</v>
      </c>
      <c r="L32" s="40">
        <f t="shared" si="7"/>
        <v>0</v>
      </c>
      <c r="M32" s="40">
        <f t="shared" si="7"/>
        <v>1428571.4285714286</v>
      </c>
    </row>
    <row r="33" spans="2:13" x14ac:dyDescent="0.4">
      <c r="B33" t="s">
        <v>70</v>
      </c>
      <c r="C33" s="40"/>
      <c r="D33" s="40">
        <f>-D16</f>
        <v>6000000</v>
      </c>
      <c r="E33" s="40">
        <f t="shared" ref="E33:M33" si="8">-E16</f>
        <v>6000000</v>
      </c>
      <c r="F33" s="40">
        <f t="shared" si="8"/>
        <v>6000000</v>
      </c>
      <c r="G33" s="40">
        <f t="shared" si="8"/>
        <v>6000000</v>
      </c>
      <c r="H33" s="40">
        <f t="shared" si="8"/>
        <v>6000000</v>
      </c>
      <c r="I33" s="40">
        <f t="shared" si="8"/>
        <v>6000000</v>
      </c>
      <c r="J33" s="40">
        <f t="shared" si="8"/>
        <v>6000000</v>
      </c>
      <c r="K33" s="40">
        <f t="shared" si="8"/>
        <v>6000000</v>
      </c>
      <c r="L33" s="40">
        <f t="shared" si="8"/>
        <v>6000000</v>
      </c>
      <c r="M33" s="40">
        <f t="shared" si="8"/>
        <v>6000000</v>
      </c>
    </row>
    <row r="34" spans="2:13" x14ac:dyDescent="0.4">
      <c r="B34" t="s">
        <v>81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>
        <f>(L37+SUM(J15:J16))/Datos!C10-Datos!C21</f>
        <v>183835835.14483514</v>
      </c>
    </row>
    <row r="35" spans="2:13" x14ac:dyDescent="0.4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2:13" x14ac:dyDescent="0.4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x14ac:dyDescent="0.4">
      <c r="B37" s="13" t="s">
        <v>84</v>
      </c>
      <c r="C37" s="43">
        <f>SUM(C24:C36)</f>
        <v>-109845604.30225413</v>
      </c>
      <c r="D37" s="43">
        <f>D20+SUM(D26:D34)</f>
        <v>18191884.285714284</v>
      </c>
      <c r="E37" s="43">
        <f t="shared" ref="E37:M37" si="9">E20+SUM(E26:E34)</f>
        <v>19680184.285714284</v>
      </c>
      <c r="F37" s="43">
        <f t="shared" si="9"/>
        <v>21733114.285714284</v>
      </c>
      <c r="G37" s="43">
        <f t="shared" si="9"/>
        <v>23342764.285714284</v>
      </c>
      <c r="H37" s="43">
        <f t="shared" si="9"/>
        <v>24952414.285714287</v>
      </c>
      <c r="I37" s="43">
        <f t="shared" si="9"/>
        <v>26440714.285714287</v>
      </c>
      <c r="J37" s="43">
        <f t="shared" si="9"/>
        <v>28493644.285714287</v>
      </c>
      <c r="K37" s="43">
        <f t="shared" si="9"/>
        <v>29717580</v>
      </c>
      <c r="L37" s="43">
        <f t="shared" si="9"/>
        <v>31327230</v>
      </c>
      <c r="M37" s="43">
        <f t="shared" si="9"/>
        <v>207765179.43054944</v>
      </c>
    </row>
    <row r="38" spans="2:13" x14ac:dyDescent="0.4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5" thickBot="1" x14ac:dyDescent="0.4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x14ac:dyDescent="0.4">
      <c r="B40" s="45" t="s">
        <v>44</v>
      </c>
      <c r="C40" s="48">
        <f>Datos!C10</f>
        <v>0.13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x14ac:dyDescent="0.4">
      <c r="B41" s="82" t="s">
        <v>96</v>
      </c>
      <c r="C41" s="83">
        <f>IRR(C37:M37)</f>
        <v>0.22952505103428167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5" thickBot="1" x14ac:dyDescent="0.45">
      <c r="B42" s="46" t="s">
        <v>85</v>
      </c>
      <c r="C42" s="47">
        <f>NPV(C40,D37:M37)+C37</f>
        <v>72211356.308740482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4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5" thickBot="1" x14ac:dyDescent="0.45"/>
    <row r="45" spans="2:13" ht="15" thickBot="1" x14ac:dyDescent="0.45">
      <c r="B45" s="78" t="s">
        <v>101</v>
      </c>
      <c r="C45" s="81">
        <f>C42+Deuda!C20</f>
        <v>77829909.988676399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Datos</vt:lpstr>
      <vt:lpstr>Demanda</vt:lpstr>
      <vt:lpstr>Calendario</vt:lpstr>
      <vt:lpstr>Deuda</vt:lpstr>
      <vt:lpstr>Flujo</vt:lpstr>
      <vt:lpstr>Datos!_Hlk530051713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Duckmanx</dc:creator>
  <cp:lastModifiedBy>Rodrigo</cp:lastModifiedBy>
  <dcterms:created xsi:type="dcterms:W3CDTF">2018-11-19T19:46:12Z</dcterms:created>
  <dcterms:modified xsi:type="dcterms:W3CDTF">2019-01-10T03:00:38Z</dcterms:modified>
</cp:coreProperties>
</file>